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Settings" sheetId="2" state="visible" r:id="rId2"/>
    <sheet xmlns:r="http://schemas.openxmlformats.org/officeDocument/2006/relationships" name="Suppliers" sheetId="3" state="visible" r:id="rId3"/>
    <sheet xmlns:r="http://schemas.openxmlformats.org/officeDocument/2006/relationships" name="Log" sheetId="4" state="visible" r:id="rId4"/>
    <sheet xmlns:r="http://schemas.openxmlformats.org/officeDocument/2006/relationships" name="Stock list" sheetId="5" state="visible" r:id="rId5"/>
    <sheet xmlns:r="http://schemas.openxmlformats.org/officeDocument/2006/relationships" name="Order list" sheetId="6" state="visible" r:id="rId6"/>
    <sheet xmlns:r="http://schemas.openxmlformats.org/officeDocument/2006/relationships" name="Count" sheetId="7" state="visible" r:id="rId7"/>
    <sheet xmlns:r="http://schemas.openxmlformats.org/officeDocument/2006/relationships" name="Summary" sheetId="8" state="visible" r:id="rId8"/>
  </sheets>
  <definedNames>
    <definedName name="_xlnm._FilterDatabase" localSheetId="3" hidden="1">'Log'!$A$1:$F$1001</definedName>
    <definedName name="_xlnm._FilterDatabase" localSheetId="4" hidden="1">'Stock list'!$A$1:$AD$301</definedName>
  </definedNames>
  <calcPr calcId="124519" fullCalcOnLoad="1"/>
</workbook>
</file>

<file path=xl/styles.xml><?xml version="1.0" encoding="utf-8"?>
<styleSheet xmlns="http://schemas.openxmlformats.org/spreadsheetml/2006/main">
  <numFmts count="7">
    <numFmt numFmtId="164" formatCode="0.0"/>
    <numFmt numFmtId="165" formatCode="d mmm yy"/>
    <numFmt numFmtId="166" formatCode="&quot;£&quot;#,##0"/>
    <numFmt numFmtId="167" formatCode="0.##"/>
    <numFmt numFmtId="168" formatCode="0.#"/>
    <numFmt numFmtId="169" formatCode="&quot;£&quot;#,##0.00"/>
    <numFmt numFmtId="170" formatCode="[=0]&quot;&quot;;d mmm yy"/>
  </numFmts>
  <fonts count="18">
    <font>
      <name val="Calibri"/>
      <family val="2"/>
      <color theme="1"/>
      <sz val="11"/>
      <scheme val="minor"/>
    </font>
    <font>
      <name val="Arial"/>
      <b val="1"/>
      <color rgb="001F2E57"/>
      <sz val="20"/>
    </font>
    <font>
      <name val="Arial"/>
      <color rgb="005B6478"/>
      <sz val="11"/>
    </font>
    <font>
      <name val="Arial"/>
      <b val="1"/>
      <color rgb="00FFFFFF"/>
      <sz val="10"/>
    </font>
    <font>
      <name val="Arial"/>
      <color rgb="00000000"/>
      <sz val="10"/>
    </font>
    <font>
      <name val="Arial"/>
      <i val="1"/>
      <color rgb="005B6478"/>
      <sz val="9"/>
    </font>
    <font>
      <name val="Arial"/>
      <b val="1"/>
      <color rgb="001F2E57"/>
      <sz val="10"/>
    </font>
    <font>
      <name val="Arial"/>
      <sz val="10"/>
    </font>
    <font>
      <name val="Arial"/>
      <b val="1"/>
      <sz val="10"/>
    </font>
    <font>
      <name val="Arial"/>
      <color rgb="005B6478"/>
      <sz val="10"/>
    </font>
    <font>
      <name val="Arial"/>
      <b val="1"/>
      <color rgb="00000000"/>
      <sz val="10"/>
    </font>
    <font>
      <name val="Arial"/>
      <b val="1"/>
      <color rgb="000091AE"/>
      <sz val="10"/>
    </font>
    <font>
      <name val="Arial"/>
      <b val="1"/>
      <color rgb="001F2E57"/>
      <sz val="13"/>
    </font>
    <font>
      <name val="Arial"/>
      <b val="1"/>
      <color rgb="008A1C1C"/>
      <sz val="10"/>
    </font>
    <font>
      <name val="Arial"/>
      <b val="1"/>
      <color rgb="007A4B00"/>
      <sz val="10"/>
    </font>
    <font>
      <name val="Arial"/>
      <b val="1"/>
      <color rgb="001F3B8A"/>
      <sz val="10"/>
    </font>
    <font>
      <name val="Arial"/>
      <b val="1"/>
      <color rgb="001E6B3A"/>
      <sz val="10"/>
    </font>
    <font>
      <name val="Arial"/>
      <b val="1"/>
      <color rgb="005B6478"/>
      <sz val="10"/>
    </font>
  </fonts>
  <fills count="10">
    <fill>
      <patternFill/>
    </fill>
    <fill>
      <patternFill patternType="gray125"/>
    </fill>
    <fill>
      <patternFill patternType="solid">
        <fgColor rgb="001F2E57"/>
      </patternFill>
    </fill>
    <fill>
      <patternFill patternType="solid">
        <fgColor rgb="00E6F6F9"/>
      </patternFill>
    </fill>
    <fill>
      <patternFill patternType="solid">
        <fgColor rgb="00F4F6F9"/>
      </patternFill>
    </fill>
    <fill>
      <patternFill patternType="solid">
        <fgColor rgb="00F8D7DA"/>
      </patternFill>
    </fill>
    <fill>
      <patternFill patternType="solid">
        <fgColor rgb="00FFE8B3"/>
      </patternFill>
    </fill>
    <fill>
      <patternFill patternType="solid">
        <fgColor rgb="00D6E6FA"/>
      </patternFill>
    </fill>
    <fill>
      <patternFill patternType="solid">
        <fgColor rgb="00DDF3E4"/>
      </patternFill>
    </fill>
    <fill>
      <patternFill patternType="solid">
        <fgColor rgb="00E9ECF2"/>
      </patternFill>
    </fill>
  </fills>
  <borders count="6">
    <border>
      <left/>
      <right/>
      <top/>
      <bottom/>
      <diagonal/>
    </border>
    <border>
      <left style="thin">
        <color rgb="00D9DEE7"/>
      </left>
      <right style="thin">
        <color rgb="00D9DEE7"/>
      </right>
      <top style="thin">
        <color rgb="00D9DEE7"/>
      </top>
      <bottom style="thin">
        <color rgb="00D9DEE7"/>
      </bottom>
    </border>
    <border>
      <left/>
      <right/>
      <top style="thin">
        <color rgb="00D9DEE7"/>
      </top>
      <bottom/>
      <diagonal/>
    </border>
    <border>
      <left/>
      <right style="thin">
        <color rgb="00D9DEE7"/>
      </right>
      <top style="thin">
        <color rgb="00D9DEE7"/>
      </top>
      <bottom/>
      <diagonal/>
    </border>
    <border>
      <left/>
      <right/>
      <top style="thin">
        <color rgb="00D9DEE7"/>
      </top>
      <bottom style="thin">
        <color rgb="00D9DEE7"/>
      </bottom>
      <diagonal/>
    </border>
    <border>
      <left/>
      <right style="thin">
        <color rgb="00D9DEE7"/>
      </right>
      <top style="thin">
        <color rgb="00D9DEE7"/>
      </top>
      <bottom style="thin">
        <color rgb="00D9DEE7"/>
      </bottom>
      <diagonal/>
    </border>
  </borders>
  <cellStyleXfs count="1">
    <xf numFmtId="0" fontId="0" fillId="0" borderId="0"/>
  </cellStyleXfs>
  <cellXfs count="57">
    <xf numFmtId="0" fontId="0" fillId="0" borderId="0" pivotButton="0" quotePrefix="0" xfId="0"/>
    <xf numFmtId="0" fontId="1" fillId="0" borderId="0" pivotButton="0" quotePrefix="0" xfId="0"/>
    <xf numFmtId="0" fontId="2" fillId="0" borderId="0" pivotButton="0" quotePrefix="0" xfId="0"/>
    <xf numFmtId="0" fontId="6" fillId="0" borderId="0" applyAlignment="1" pivotButton="0" quotePrefix="0" xfId="0">
      <alignment vertical="top" wrapText="1"/>
    </xf>
    <xf numFmtId="0" fontId="4" fillId="0" borderId="0" applyAlignment="1" pivotButton="0" quotePrefix="0" xfId="0">
      <alignment vertical="top" wrapText="1"/>
    </xf>
    <xf numFmtId="0" fontId="3" fillId="2" borderId="1" applyAlignment="1" pivotButton="0" quotePrefix="0" xfId="0">
      <alignment vertical="center" wrapText="1"/>
    </xf>
    <xf numFmtId="0" fontId="0" fillId="0" borderId="4" pivotButton="0" quotePrefix="0" xfId="0"/>
    <xf numFmtId="0" fontId="0" fillId="0" borderId="5" pivotButton="0" quotePrefix="0" xfId="0"/>
    <xf numFmtId="0" fontId="13" fillId="5" borderId="1" applyAlignment="1" pivotButton="0" quotePrefix="0" xfId="0">
      <alignment horizontal="center"/>
    </xf>
    <xf numFmtId="0" fontId="4" fillId="0" borderId="1" applyAlignment="1" pivotButton="0" quotePrefix="0" xfId="0">
      <alignment vertical="top" wrapText="1"/>
    </xf>
    <xf numFmtId="0" fontId="9" fillId="0" borderId="1" applyAlignment="1" pivotButton="0" quotePrefix="0" xfId="0">
      <alignment vertical="top" wrapText="1"/>
    </xf>
    <xf numFmtId="0" fontId="14" fillId="6" borderId="1" applyAlignment="1" pivotButton="0" quotePrefix="0" xfId="0">
      <alignment horizontal="center"/>
    </xf>
    <xf numFmtId="0" fontId="15" fillId="7" borderId="1" applyAlignment="1" pivotButton="0" quotePrefix="0" xfId="0">
      <alignment horizontal="center"/>
    </xf>
    <xf numFmtId="0" fontId="16" fillId="8" borderId="1" applyAlignment="1" pivotButton="0" quotePrefix="0" xfId="0">
      <alignment horizontal="center"/>
    </xf>
    <xf numFmtId="0" fontId="17" fillId="9" borderId="1" applyAlignment="1" pivotButton="0" quotePrefix="0" xfId="0">
      <alignment horizontal="center"/>
    </xf>
    <xf numFmtId="0" fontId="10" fillId="0" borderId="1" pivotButton="0" quotePrefix="0" xfId="0"/>
    <xf numFmtId="0" fontId="5" fillId="0" borderId="0" applyAlignment="1" pivotButton="0" quotePrefix="0" xfId="0">
      <alignment vertical="top" wrapText="1"/>
    </xf>
    <xf numFmtId="0" fontId="3" fillId="2" borderId="1" pivotButton="0" quotePrefix="0" xfId="0"/>
    <xf numFmtId="164" fontId="4" fillId="3" borderId="1" applyAlignment="1" pivotButton="0" quotePrefix="0" xfId="0">
      <alignment horizontal="right"/>
    </xf>
    <xf numFmtId="1" fontId="4" fillId="3" borderId="1" applyAlignment="1" pivotButton="0" quotePrefix="0" xfId="0">
      <alignment horizontal="right"/>
    </xf>
    <xf numFmtId="165" fontId="4" fillId="3" borderId="1" applyAlignment="1" pivotButton="0" quotePrefix="0" xfId="0">
      <alignment horizontal="right"/>
    </xf>
    <xf numFmtId="165" fontId="6" fillId="0" borderId="1" applyAlignment="1" pivotButton="0" quotePrefix="0" xfId="0">
      <alignment horizontal="right"/>
    </xf>
    <xf numFmtId="0" fontId="4" fillId="3" borderId="1" applyAlignment="1" pivotButton="0" quotePrefix="0" xfId="0">
      <alignment horizontal="right"/>
    </xf>
    <xf numFmtId="166" fontId="4" fillId="3" borderId="1" applyAlignment="1" pivotButton="0" quotePrefix="0" xfId="0">
      <alignment horizontal="right"/>
    </xf>
    <xf numFmtId="0" fontId="4" fillId="3" borderId="1" pivotButton="0" quotePrefix="0" xfId="0"/>
    <xf numFmtId="1" fontId="4" fillId="3" borderId="1" pivotButton="0" quotePrefix="0" xfId="0"/>
    <xf numFmtId="166" fontId="4" fillId="3" borderId="1" pivotButton="0" quotePrefix="0" xfId="0"/>
    <xf numFmtId="165" fontId="7" fillId="3" borderId="1" pivotButton="0" quotePrefix="0" xfId="0"/>
    <xf numFmtId="0" fontId="7" fillId="3" borderId="1" pivotButton="0" quotePrefix="0" xfId="0"/>
    <xf numFmtId="167" fontId="7" fillId="3" borderId="1" pivotButton="0" quotePrefix="0" xfId="0"/>
    <xf numFmtId="0" fontId="8" fillId="0" borderId="1" applyAlignment="1" pivotButton="0" quotePrefix="0" xfId="0">
      <alignment horizontal="center"/>
    </xf>
    <xf numFmtId="168" fontId="4" fillId="0" borderId="1" pivotButton="0" quotePrefix="0" xfId="0"/>
    <xf numFmtId="1" fontId="4" fillId="0" borderId="1" pivotButton="0" quotePrefix="0" xfId="0"/>
    <xf numFmtId="164" fontId="4" fillId="0" borderId="1" pivotButton="0" quotePrefix="0" xfId="0"/>
    <xf numFmtId="169" fontId="4" fillId="3" borderId="1" pivotButton="0" quotePrefix="0" xfId="0"/>
    <xf numFmtId="167" fontId="4" fillId="3" borderId="1" pivotButton="0" quotePrefix="0" xfId="0"/>
    <xf numFmtId="1" fontId="9" fillId="0" borderId="1" pivotButton="0" quotePrefix="0" xfId="0"/>
    <xf numFmtId="165" fontId="4" fillId="3" borderId="1" pivotButton="0" quotePrefix="0" xfId="0"/>
    <xf numFmtId="170" fontId="9" fillId="0" borderId="1" pivotButton="0" quotePrefix="0" xfId="0"/>
    <xf numFmtId="169" fontId="4" fillId="0" borderId="1" pivotButton="0" quotePrefix="0" xfId="0"/>
    <xf numFmtId="166" fontId="4" fillId="0" borderId="1" pivotButton="0" quotePrefix="0" xfId="0"/>
    <xf numFmtId="0" fontId="9" fillId="0" borderId="1" pivotButton="0" quotePrefix="0" xfId="0"/>
    <xf numFmtId="0" fontId="9" fillId="0" borderId="0" pivotButton="0" quotePrefix="0" xfId="0"/>
    <xf numFmtId="0" fontId="4" fillId="0" borderId="1" pivotButton="0" quotePrefix="0" xfId="0"/>
    <xf numFmtId="0" fontId="11" fillId="0" borderId="1" pivotButton="0" quotePrefix="0" xfId="0"/>
    <xf numFmtId="0" fontId="4" fillId="4" borderId="1" pivotButton="0" quotePrefix="0" xfId="0"/>
    <xf numFmtId="0" fontId="10" fillId="4" borderId="1" pivotButton="0" quotePrefix="0" xfId="0"/>
    <xf numFmtId="169" fontId="10" fillId="4" borderId="1" pivotButton="0" quotePrefix="0" xfId="0"/>
    <xf numFmtId="170" fontId="4" fillId="0" borderId="1" pivotButton="0" quotePrefix="0" xfId="0"/>
    <xf numFmtId="1" fontId="10" fillId="0" borderId="1" pivotButton="0" quotePrefix="0" xfId="0"/>
    <xf numFmtId="166" fontId="10" fillId="0" borderId="1" pivotButton="0" quotePrefix="0" xfId="0"/>
    <xf numFmtId="0" fontId="11" fillId="0" borderId="1" applyAlignment="1" pivotButton="0" quotePrefix="0" xfId="0">
      <alignment horizontal="center"/>
    </xf>
    <xf numFmtId="164" fontId="10" fillId="0" borderId="1" pivotButton="0" quotePrefix="0" xfId="0"/>
    <xf numFmtId="0" fontId="12" fillId="0" borderId="0" pivotButton="0" quotePrefix="0" xfId="0"/>
    <xf numFmtId="9" fontId="10" fillId="0" borderId="1" pivotButton="0" quotePrefix="0" xfId="0"/>
    <xf numFmtId="0" fontId="11" fillId="0" borderId="1" applyAlignment="1" pivotButton="0" quotePrefix="0" xfId="0">
      <alignment vertical="top" wrapText="1"/>
    </xf>
    <xf numFmtId="0" fontId="10" fillId="0" borderId="1" applyAlignment="1" pivotButton="0" quotePrefix="0" xfId="0">
      <alignment horizontal="center"/>
    </xf>
  </cellXfs>
  <cellStyles count="1">
    <cellStyle name="Normal" xfId="0" builtinId="0" hidden="0"/>
  </cellStyles>
  <dxfs count="6">
    <dxf>
      <font>
        <name val="Arial"/>
        <b val="1"/>
        <color rgb="008A1C1C"/>
        <sz val="10"/>
      </font>
      <fill>
        <patternFill patternType="solid">
          <fgColor rgb="00F8D7DA"/>
        </patternFill>
      </fill>
    </dxf>
    <dxf>
      <font>
        <name val="Arial"/>
        <b val="1"/>
        <color rgb="007A4B00"/>
        <sz val="10"/>
      </font>
      <fill>
        <patternFill patternType="solid">
          <fgColor rgb="00FFE8B3"/>
        </patternFill>
      </fill>
    </dxf>
    <dxf>
      <font>
        <name val="Arial"/>
        <b val="1"/>
        <color rgb="001F3B8A"/>
        <sz val="10"/>
      </font>
      <fill>
        <patternFill patternType="solid">
          <fgColor rgb="00D6E6FA"/>
        </patternFill>
      </fill>
    </dxf>
    <dxf>
      <font>
        <name val="Arial"/>
        <b val="1"/>
        <color rgb="001E6B3A"/>
        <sz val="10"/>
      </font>
      <fill>
        <patternFill patternType="solid">
          <fgColor rgb="00DDF3E4"/>
        </patternFill>
      </fill>
    </dxf>
    <dxf>
      <font>
        <name val="Arial"/>
        <b val="1"/>
        <color rgb="005B6478"/>
        <sz val="10"/>
      </font>
      <fill>
        <patternFill patternType="solid">
          <fgColor rgb="00E9ECF2"/>
        </patternFill>
      </fill>
    </dxf>
    <dxf>
      <font>
        <name val="Arial"/>
        <b val="1"/>
        <color rgb="008A1C1C"/>
        <sz val="1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harts/chart1.xml><?xml version="1.0" encoding="utf-8"?>
<chartSpace xmlns="http://schemas.openxmlformats.org/drawingml/2006/chart">
  <chart>
    <plotArea>
      <doughnutChart>
        <varyColors val="1"/>
        <ser>
          <idx val="0"/>
          <order val="0"/>
          <spPr>
            <a:ln xmlns:a="http://schemas.openxmlformats.org/drawingml/2006/main">
              <a:prstDash val="solid"/>
            </a:ln>
          </spPr>
          <dPt>
            <idx val="0"/>
            <spPr>
              <a:solidFill xmlns:a="http://schemas.openxmlformats.org/drawingml/2006/main">
                <a:srgbClr val="0091AE"/>
              </a:solidFill>
              <a:ln xmlns:a="http://schemas.openxmlformats.org/drawingml/2006/main">
                <a:solidFill>
                  <a:srgbClr val="FFFFFF"/>
                </a:solidFill>
                <a:prstDash val="solid"/>
              </a:ln>
            </spPr>
          </dPt>
          <dPt>
            <idx val="1"/>
            <spPr>
              <a:solidFill xmlns:a="http://schemas.openxmlformats.org/drawingml/2006/main">
                <a:srgbClr val="8A97B3"/>
              </a:solidFill>
              <a:ln xmlns:a="http://schemas.openxmlformats.org/drawingml/2006/main">
                <a:solidFill>
                  <a:srgbClr val="FFFFFF"/>
                </a:solidFill>
                <a:prstDash val="solid"/>
              </a:ln>
            </spPr>
          </dPt>
          <dPt>
            <idx val="2"/>
            <spPr>
              <a:solidFill xmlns:a="http://schemas.openxmlformats.org/drawingml/2006/main">
                <a:srgbClr val="1F2E57"/>
              </a:solidFill>
              <a:ln xmlns:a="http://schemas.openxmlformats.org/drawingml/2006/main">
                <a:solidFill>
                  <a:srgbClr val="FFFFFF"/>
                </a:solidFill>
                <a:prstDash val="solid"/>
              </a:ln>
            </spPr>
          </dPt>
          <dPt>
            <idx val="3"/>
            <spPr>
              <a:solidFill xmlns:a="http://schemas.openxmlformats.org/drawingml/2006/main">
                <a:srgbClr val="8FE1EF"/>
              </a:solidFill>
              <a:ln xmlns:a="http://schemas.openxmlformats.org/drawingml/2006/main">
                <a:solidFill>
                  <a:srgbClr val="FFFFFF"/>
                </a:solidFill>
                <a:prstDash val="solid"/>
              </a:ln>
            </spPr>
          </dPt>
          <dPt>
            <idx val="4"/>
            <spPr>
              <a:solidFill xmlns:a="http://schemas.openxmlformats.org/drawingml/2006/main">
                <a:srgbClr val="5B6478"/>
              </a:solidFill>
              <a:ln xmlns:a="http://schemas.openxmlformats.org/drawingml/2006/main">
                <a:solidFill>
                  <a:srgbClr val="FFFFFF"/>
                </a:solidFill>
                <a:prstDash val="solid"/>
              </a:ln>
            </spPr>
          </dPt>
          <dPt>
            <idx val="5"/>
            <spPr>
              <a:solidFill xmlns:a="http://schemas.openxmlformats.org/drawingml/2006/main">
                <a:srgbClr val="C9D2E3"/>
              </a:solidFill>
              <a:ln xmlns:a="http://schemas.openxmlformats.org/drawingml/2006/main">
                <a:solidFill>
                  <a:srgbClr val="FFFFFF"/>
                </a:solidFill>
                <a:prstDash val="solid"/>
              </a:ln>
            </spPr>
          </dPt>
          <dPt>
            <idx val="6"/>
            <spPr>
              <a:solidFill xmlns:a="http://schemas.openxmlformats.org/drawingml/2006/main">
                <a:srgbClr val="0B6F86"/>
              </a:solidFill>
              <a:ln xmlns:a="http://schemas.openxmlformats.org/drawingml/2006/main">
                <a:solidFill>
                  <a:srgbClr val="FFFFFF"/>
                </a:solidFill>
                <a:prstDash val="solid"/>
              </a:ln>
            </spPr>
          </dPt>
          <dPt>
            <idx val="7"/>
            <spPr>
              <a:solidFill xmlns:a="http://schemas.openxmlformats.org/drawingml/2006/main">
                <a:srgbClr val="D9DEE7"/>
              </a:solidFill>
              <a:ln xmlns:a="http://schemas.openxmlformats.org/drawingml/2006/main">
                <a:solidFill>
                  <a:srgbClr val="FFFFFF"/>
                </a:solidFill>
                <a:prstDash val="solid"/>
              </a:ln>
            </spPr>
          </dPt>
          <dPt>
            <idx val="8"/>
            <spPr>
              <a:solidFill xmlns:a="http://schemas.openxmlformats.org/drawingml/2006/main">
                <a:srgbClr val="3E4C78"/>
              </a:solidFill>
              <a:ln xmlns:a="http://schemas.openxmlformats.org/drawingml/2006/main">
                <a:solidFill>
                  <a:srgbClr val="FFFFFF"/>
                </a:solidFill>
                <a:prstDash val="solid"/>
              </a:ln>
            </spPr>
          </dPt>
          <dPt>
            <idx val="9"/>
            <spPr>
              <a:solidFill xmlns:a="http://schemas.openxmlformats.org/drawingml/2006/main">
                <a:srgbClr val="B3E9F2"/>
              </a:solidFill>
              <a:ln xmlns:a="http://schemas.openxmlformats.org/drawingml/2006/main">
                <a:solidFill>
                  <a:srgbClr val="FFFFFF"/>
                </a:solidFill>
                <a:prstDash val="solid"/>
              </a:ln>
            </spPr>
          </dPt>
          <cat>
            <numRef>
              <f>'Summary'!$B$45:$B$54</f>
            </numRef>
          </cat>
          <val>
            <numRef>
              <f>'Summary'!$D$45:$D$54</f>
            </numRef>
          </val>
        </ser>
        <firstSliceAng val="0"/>
        <holeSize val="58"/>
      </doughnutChart>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8</col>
      <colOff>0</colOff>
      <row>42</row>
      <rowOff>0</rowOff>
    </from>
    <ext cx="3240000" cy="27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8.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B1:H32"/>
  <sheetViews>
    <sheetView showGridLines="0" workbookViewId="0">
      <selection activeCell="A1" sqref="A1"/>
    </sheetView>
  </sheetViews>
  <sheetFormatPr baseColWidth="8" defaultRowHeight="15"/>
  <cols>
    <col width="3" customWidth="1" min="1" max="1"/>
    <col width="30" customWidth="1" min="2" max="2"/>
    <col width="3" customWidth="1" min="3" max="3"/>
    <col width="30" customWidth="1" min="4" max="4"/>
    <col width="14" customWidth="1" min="5" max="5"/>
    <col width="56" customWidth="1" min="6" max="6"/>
    <col width="12" customWidth="1" min="7" max="7"/>
    <col width="40" customWidth="1" min="8" max="8"/>
  </cols>
  <sheetData>
    <row r="1">
      <c r="B1" s="1" t="inlineStr">
        <is>
          <t>Lab Inventory Tracker</t>
        </is>
      </c>
    </row>
    <row r="2">
      <c r="B2" s="2" t="inlineStr">
        <is>
          <t>Never run out. A stock list that knows when to reorder, writes your Monday order list, and only asks you to count the items near the line. From Brooks Bio.</t>
        </is>
      </c>
    </row>
    <row r="4" ht="16" customHeight="1">
      <c r="B4" s="3" t="inlineStr">
        <is>
          <t>How to use this sheet</t>
        </is>
      </c>
    </row>
    <row r="5" ht="30" customHeight="1">
      <c r="B5" s="4" t="inlineStr">
        <is>
          <t>1.  Suppliers tab: list your suppliers with their real lead time in days (order to goods-in). Five if you do not know.</t>
        </is>
      </c>
    </row>
    <row r="6" ht="30" customHeight="1">
      <c r="B6" s="4" t="inlineStr">
        <is>
          <t>2.  Stock list tab: one row per item you ever run out of. Start with the fifty that have bitten you, not the whole lab. Paste the last three months of orders if you have them: that gives item, supplier, catalogue number, cost and a rough use rate for free.</t>
        </is>
      </c>
    </row>
    <row r="7" ht="30" customHeight="1">
      <c r="B7" s="4" t="inlineStr">
        <is>
          <t>3.  Walk the lab once with the sheet open and fill in location, owner and a first count (Counted and Counted on). An afternoon, no more; if it takes longer you are tracking too much.</t>
        </is>
      </c>
    </row>
    <row r="8" ht="30" customHeight="1">
      <c r="B8" s="4" t="inlineStr">
        <is>
          <t>4.  Monday: open the Order list. Everything at Order now or Critical, grouped by supplier, with catalogue numbers and line costs. Paste it into your purchase request, then put the date in Last ordered and the quantity in Ordered qty.</t>
        </is>
      </c>
    </row>
    <row r="9" ht="30" customHeight="1">
      <c r="B9" s="4" t="inlineStr">
        <is>
          <t>5.  Thursday: open the Count tab. It names the five to ten items near their reorder point. Count those only and type the numbers in. Never a full stocktake.</t>
        </is>
      </c>
    </row>
    <row r="10" ht="30" customHeight="1">
      <c r="B10" s="4" t="inlineStr">
        <is>
          <t>6.  When a delivery lands, add a Received row to the Log (or update the count). Ran out of something? Add a Stock-out row; the Summary counts them by quarter. An Ordered row is a note of what was ordered when; the formulas ignore it.</t>
        </is>
      </c>
    </row>
    <row r="11" ht="30" customHeight="1">
      <c r="B11" s="4" t="inlineStr">
        <is>
          <t>7.  The Summary tab has the numbers: items to order and their value, items Critical, stock-outs, cash tied up in stock, and spend by supplier.</t>
        </is>
      </c>
    </row>
    <row r="12" ht="30" customHeight="1">
      <c r="B12" s="4" t="inlineStr">
        <is>
          <t>Pale blue cells are for you to fill in or adjust. Everything else is calculated. The Google Sheets edition sends the Monday list and the Thursday count for you; see the guide.</t>
        </is>
      </c>
    </row>
    <row r="14">
      <c r="B14" s="5" t="inlineStr">
        <is>
          <t>Status</t>
        </is>
      </c>
      <c r="C14" s="5" t="inlineStr">
        <is>
          <t>Meaning</t>
        </is>
      </c>
      <c r="D14" s="5" t="inlineStr">
        <is>
          <t>Meaning</t>
        </is>
      </c>
      <c r="E14" s="6" t="n"/>
      <c r="F14" s="7" t="n"/>
      <c r="G14" t="inlineStr">
        <is>
          <t>What to do</t>
        </is>
      </c>
    </row>
    <row r="15" ht="30" customHeight="1">
      <c r="B15" s="8" t="inlineStr">
        <is>
          <t>Critical</t>
        </is>
      </c>
      <c r="D15" s="9" t="inlineStr">
        <is>
          <t>Stock will run out before a delivery placed today would arrive: weeks of cover × 7 is less than the lead time.</t>
        </is>
      </c>
      <c r="E15" s="6" t="n"/>
      <c r="F15" s="7" t="n"/>
      <c r="G15" s="10" t="inlineStr">
        <is>
          <t>Order today. Chase if it is already on order. Borrow or find a stopgap for the gap.</t>
        </is>
      </c>
      <c r="H15" s="7" t="n"/>
    </row>
    <row r="16" ht="30" customHeight="1">
      <c r="B16" s="11" t="inlineStr">
        <is>
          <t>Order now</t>
        </is>
      </c>
      <c r="D16" s="9" t="inlineStr">
        <is>
          <t>Stock is at or below the reorder point and nothing is on order.</t>
        </is>
      </c>
      <c r="E16" s="6" t="n"/>
      <c r="F16" s="7" t="n"/>
      <c r="G16" s="10" t="inlineStr">
        <is>
          <t>It is on the Order list. Order it on Monday.</t>
        </is>
      </c>
      <c r="H16" s="7" t="n"/>
    </row>
    <row r="17" ht="30" customHeight="1">
      <c r="B17" s="12" t="inlineStr">
        <is>
          <t>On order</t>
        </is>
      </c>
      <c r="D17" s="9" t="inlineStr">
        <is>
          <t>Ordered (Ordered qty, Last ordered) and not yet received in full.</t>
        </is>
      </c>
      <c r="E17" s="6" t="n"/>
      <c r="F17" s="7" t="n"/>
      <c r="G17" s="10" t="inlineStr">
        <is>
          <t>Log the delivery as Received when it lands.</t>
        </is>
      </c>
      <c r="H17" s="7" t="n"/>
    </row>
    <row r="18" ht="30" customHeight="1">
      <c r="B18" s="13" t="inlineStr">
        <is>
          <t>OK</t>
        </is>
      </c>
      <c r="D18" s="9" t="inlineStr">
        <is>
          <t>Above the reorder point.</t>
        </is>
      </c>
      <c r="E18" s="6" t="n"/>
      <c r="F18" s="7" t="n"/>
      <c r="G18" s="10" t="inlineStr">
        <is>
          <t>Nothing. It may still appear on the Thursday count if it is near the line.</t>
        </is>
      </c>
      <c r="H18" s="7" t="n"/>
    </row>
    <row r="19" ht="30" customHeight="1">
      <c r="B19" s="14" t="inlineStr">
        <is>
          <t>No count</t>
        </is>
      </c>
      <c r="D19" s="9" t="inlineStr">
        <is>
          <t>The row has never been counted, so stock now is unknown.</t>
        </is>
      </c>
      <c r="E19" s="6" t="n"/>
      <c r="F19" s="7" t="n"/>
      <c r="G19" s="10" t="inlineStr">
        <is>
          <t>It is on the Count tab. Count it once and the status appears.</t>
        </is>
      </c>
      <c r="H19" s="7" t="n"/>
    </row>
    <row r="22">
      <c r="B22" s="5" t="inlineStr">
        <is>
          <t>The maths</t>
        </is>
      </c>
      <c r="C22" s="5" t="inlineStr"/>
      <c r="D22" s="5" t="inlineStr"/>
      <c r="E22" s="5" t="inlineStr"/>
      <c r="F22" s="5" t="inlineStr"/>
      <c r="G22" s="5" t="inlineStr"/>
      <c r="H22" s="5" t="inlineStr"/>
    </row>
    <row r="23" ht="30" customHeight="1">
      <c r="B23" s="15" t="inlineStr">
        <is>
          <t>Reorder point</t>
        </is>
      </c>
      <c r="D23" s="9" t="inlineStr">
        <is>
          <t>use per week × (lead time in days ÷ 7 + safety stock in weeks), rounded up. Override per item if you know better.</t>
        </is>
      </c>
      <c r="E23" s="6" t="n"/>
      <c r="F23" s="6" t="n"/>
      <c r="G23" s="6" t="n"/>
      <c r="H23" s="7" t="n"/>
    </row>
    <row r="24" ht="30" customHeight="1">
      <c r="B24" s="15" t="inlineStr">
        <is>
          <t>Order quantity</t>
        </is>
      </c>
      <c r="D24" s="9" t="inlineStr">
        <is>
          <t>use per week × order cover in weeks (Settings, default 4), rounded up, at least 1. Override per item, for example to match a pack of six.</t>
        </is>
      </c>
      <c r="E24" s="6" t="n"/>
      <c r="F24" s="6" t="n"/>
      <c r="G24" s="6" t="n"/>
      <c r="H24" s="7" t="n"/>
    </row>
    <row r="25" ht="30" customHeight="1">
      <c r="B25" s="15" t="inlineStr">
        <is>
          <t>Stock now</t>
        </is>
      </c>
      <c r="D25" s="9" t="inlineStr">
        <is>
          <t>the last count (typed in the Stock list, or a Count row in the Log, whichever is newer) plus Received rows since, minus Used rows since, plus Adjustments. The count is the truth; the Log is the explanation.</t>
        </is>
      </c>
      <c r="E25" s="6" t="n"/>
      <c r="F25" s="6" t="n"/>
      <c r="G25" s="6" t="n"/>
      <c r="H25" s="7" t="n"/>
    </row>
    <row r="26" ht="16" customHeight="1">
      <c r="B26" s="15" t="inlineStr">
        <is>
          <t>On order</t>
        </is>
      </c>
      <c r="D26" s="9" t="inlineStr">
        <is>
          <t>Ordered qty minus Received rows on or after Last ordered. Reaches zero when the delivery is logged.</t>
        </is>
      </c>
      <c r="E26" s="6" t="n"/>
      <c r="F26" s="6" t="n"/>
      <c r="G26" s="6" t="n"/>
      <c r="H26" s="7" t="n"/>
    </row>
    <row r="27" ht="16" customHeight="1">
      <c r="B27" s="15" t="inlineStr">
        <is>
          <t>Weeks of cover</t>
        </is>
      </c>
      <c r="D27" s="9" t="inlineStr">
        <is>
          <t>stock now ÷ use per week.</t>
        </is>
      </c>
      <c r="E27" s="6" t="n"/>
      <c r="F27" s="6" t="n"/>
      <c r="G27" s="6" t="n"/>
      <c r="H27" s="7" t="n"/>
    </row>
    <row r="28" ht="16" customHeight="1">
      <c r="B28" s="15" t="inlineStr">
        <is>
          <t>Lead time</t>
        </is>
      </c>
      <c r="D28" s="9" t="inlineStr">
        <is>
          <t>the item's override if given, else its supplier's typical lead time, else 5 days.</t>
        </is>
      </c>
      <c r="E28" s="6" t="n"/>
      <c r="F28" s="6" t="n"/>
      <c r="G28" s="6" t="n"/>
      <c r="H28" s="7" t="n"/>
    </row>
    <row r="29" ht="30" customHeight="1">
      <c r="B29" s="15" t="inlineStr">
        <is>
          <t>Thursday count</t>
        </is>
      </c>
      <c r="D29" s="9" t="inlineStr">
        <is>
          <t>items that are OK but within the count threshold of their reorder point, never counted, or not counted for longer than the recount interval. Items already on the Order list or on order are left out. Sorted by location so you can walk the lab once.</t>
        </is>
      </c>
      <c r="E29" s="6" t="n"/>
      <c r="F29" s="6" t="n"/>
      <c r="G29" s="6" t="n"/>
      <c r="H29" s="7" t="n"/>
    </row>
    <row r="32" ht="30" customHeight="1">
      <c r="B32" s="16" t="inlineStr">
        <is>
          <t>Works in Google Sheets and in Excel 2019 or later (it uses MAXIFS). Formulas only, no macros. The Google Sheets edition adds the Monday email, the Thursday count form, a Critical alert and the menu actions; nothing is sent to Brooks Bio.</t>
        </is>
      </c>
    </row>
  </sheetData>
  <mergeCells count="29">
    <mergeCell ref="B9:H9"/>
    <mergeCell ref="B6:H6"/>
    <mergeCell ref="D17:F17"/>
    <mergeCell ref="B5:H5"/>
    <mergeCell ref="G17:H17"/>
    <mergeCell ref="D16:F16"/>
    <mergeCell ref="B32:H32"/>
    <mergeCell ref="B4:H4"/>
    <mergeCell ref="D18:F18"/>
    <mergeCell ref="G19:H19"/>
    <mergeCell ref="D27:H27"/>
    <mergeCell ref="B7:H7"/>
    <mergeCell ref="G18:H18"/>
    <mergeCell ref="D15:F15"/>
    <mergeCell ref="D14:F14"/>
    <mergeCell ref="G15:H15"/>
    <mergeCell ref="B12:H12"/>
    <mergeCell ref="D28:H28"/>
    <mergeCell ref="G14:H14"/>
    <mergeCell ref="B11:H11"/>
    <mergeCell ref="B8:H8"/>
    <mergeCell ref="D19:F19"/>
    <mergeCell ref="D25:H25"/>
    <mergeCell ref="G16:H16"/>
    <mergeCell ref="D24:H24"/>
    <mergeCell ref="D29:H29"/>
    <mergeCell ref="D23:H23"/>
    <mergeCell ref="B10:H10"/>
    <mergeCell ref="D26:H26"/>
  </mergeCell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B1:H40"/>
  <sheetViews>
    <sheetView showGridLines="0" workbookViewId="0">
      <selection activeCell="A1" sqref="A1"/>
    </sheetView>
  </sheetViews>
  <sheetFormatPr baseColWidth="8" defaultRowHeight="15"/>
  <cols>
    <col width="3" customWidth="1" min="1" max="1"/>
    <col width="44" customWidth="1" min="2" max="2"/>
    <col width="14" customWidth="1" min="3" max="3"/>
    <col width="3" customWidth="1" min="4" max="4"/>
    <col width="22" customWidth="1" min="5" max="5"/>
    <col width="3" customWidth="1" min="6" max="6"/>
    <col width="24" customWidth="1" min="7" max="7"/>
    <col width="3" customWidth="1" min="8" max="8"/>
  </cols>
  <sheetData>
    <row r="1">
      <c r="B1" s="1" t="inlineStr">
        <is>
          <t>Settings</t>
        </is>
      </c>
    </row>
    <row r="2">
      <c r="B2" s="2" t="inlineStr">
        <is>
          <t>The few numbers the whole sheet runs on. Pale blue cells are yours to change.</t>
        </is>
      </c>
    </row>
    <row r="4">
      <c r="B4" s="5" t="inlineStr">
        <is>
          <t>Setting</t>
        </is>
      </c>
      <c r="C4" s="5" t="inlineStr">
        <is>
          <t>Value</t>
        </is>
      </c>
      <c r="D4" s="17" t="inlineStr">
        <is>
          <t>What it does</t>
        </is>
      </c>
    </row>
    <row r="5" ht="30" customHeight="1">
      <c r="B5" s="9" t="inlineStr">
        <is>
          <t>Safety stock, weeks of use</t>
        </is>
      </c>
      <c r="C5" s="18" t="n">
        <v>1</v>
      </c>
      <c r="D5" s="16" t="inlineStr">
        <is>
          <t>Added to every reorder point so a late delivery does not stop the lab. One week suits most labs; raise it for items with unreliable suppliers or long lead times.</t>
        </is>
      </c>
    </row>
    <row r="6" ht="30" customHeight="1">
      <c r="B6" s="9" t="inlineStr">
        <is>
          <t>Count threshold, weeks of use above the reorder point</t>
        </is>
      </c>
      <c r="C6" s="18" t="n">
        <v>1</v>
      </c>
      <c r="D6" s="16" t="inlineStr">
        <is>
          <t>An item goes on the Thursday count when its stock is within this much use of its reorder point. One week usually gives five to ten items.</t>
        </is>
      </c>
    </row>
    <row r="7" ht="30" customHeight="1">
      <c r="B7" s="9" t="inlineStr">
        <is>
          <t>Order cover, weeks of use per order</t>
        </is>
      </c>
      <c r="C7" s="18" t="n">
        <v>4</v>
      </c>
      <c r="D7" s="16" t="inlineStr">
        <is>
          <t>The default order quantity is this many weeks of use, rounded up. Override per item in the Stock list.</t>
        </is>
      </c>
    </row>
    <row r="8" ht="30" customHeight="1">
      <c r="B8" s="9" t="inlineStr">
        <is>
          <t>Recount anything not counted for, weeks</t>
        </is>
      </c>
      <c r="C8" s="19" t="n">
        <v>8</v>
      </c>
      <c r="D8" s="16" t="inlineStr">
        <is>
          <t>Items that have not been counted for this long are added to the count even if they look fine. Keeps the sheet honest.</t>
        </is>
      </c>
    </row>
    <row r="9" ht="30" customHeight="1">
      <c r="B9" s="9" t="inlineStr">
        <is>
          <t>As-of date (leave blank to use today)</t>
        </is>
      </c>
      <c r="C9" s="20" t="n"/>
      <c r="D9" s="16" t="inlineStr">
        <is>
          <t>Statuses, the order list and the count are worked out for this date. Blank means today. The demo workbook sets it so the numbers stay still.</t>
        </is>
      </c>
    </row>
    <row r="10" ht="18" customHeight="1">
      <c r="B10" s="9" t="inlineStr">
        <is>
          <t>Date used</t>
        </is>
      </c>
      <c r="C10" s="21">
        <f>IF(C9="",TODAY(),C9)</f>
        <v/>
      </c>
      <c r="D10" s="16" t="inlineStr">
        <is>
          <t>Calculated.</t>
        </is>
      </c>
    </row>
    <row r="11" ht="30" customHeight="1">
      <c r="B11" s="9" t="inlineStr">
        <is>
          <t>Currency symbol</t>
        </is>
      </c>
      <c r="C11" s="22" t="inlineStr">
        <is>
          <t>£</t>
        </is>
      </c>
      <c r="D11" s="16" t="inlineStr">
        <is>
          <t>Used in the paste-ready lines on the Order list. Change the £ number formats by selecting the cells and choosing another currency.</t>
        </is>
      </c>
    </row>
    <row r="12" ht="30" customHeight="1">
      <c r="B12" s="9" t="inlineStr">
        <is>
          <t>Ordering hours per week now (from your time audit, if you ran one)</t>
        </is>
      </c>
      <c r="C12" s="18" t="n"/>
      <c r="D12" s="16" t="inlineStr">
        <is>
          <t>Shown on the Summary beside what it costs a year. The Lab Time Audit's 'Ordering, inventory &amp; suppliers' row gives it.</t>
        </is>
      </c>
    </row>
    <row r="13" ht="18" customHeight="1">
      <c r="B13" s="9" t="inlineStr">
        <is>
          <t>Loaded cost of a scientist, £ per hour</t>
        </is>
      </c>
      <c r="C13" s="23" t="n">
        <v>40</v>
      </c>
      <c r="D13" s="16" t="inlineStr">
        <is>
          <t>Turns the hours above into pounds. Annual salary × 1.4 ÷ 1,600 is a quick estimate.</t>
        </is>
      </c>
    </row>
    <row r="14" ht="18" customHeight="1">
      <c r="B14" s="9" t="inlineStr">
        <is>
          <t>Monday order list, time</t>
        </is>
      </c>
      <c r="C14" s="22" t="inlineStr">
        <is>
          <t>09:00</t>
        </is>
      </c>
      <c r="D14" s="16" t="inlineStr">
        <is>
          <t>Google Sheets edition only: when the order list is sent.</t>
        </is>
      </c>
    </row>
    <row r="15" ht="18" customHeight="1">
      <c r="B15" s="9" t="inlineStr">
        <is>
          <t>Thursday count, time</t>
        </is>
      </c>
      <c r="C15" s="22" t="inlineStr">
        <is>
          <t>14:00</t>
        </is>
      </c>
      <c r="D15" s="16" t="inlineStr">
        <is>
          <t>Google Sheets edition only: when the count form is sent.</t>
        </is>
      </c>
    </row>
    <row r="16" ht="30" customHeight="1">
      <c r="B16" s="9" t="inlineStr">
        <is>
          <t>Procurement contact email (optional)</t>
        </is>
      </c>
      <c r="C16" s="22" t="n"/>
      <c r="D16" s="16" t="inlineStr">
        <is>
          <t>Optional. If someone else raises your orders, for example your MyAmici buyer or a purchasing team, the Google Sheets edition sends them the Monday list too.</t>
        </is>
      </c>
    </row>
    <row r="18">
      <c r="B18" s="5" t="inlineStr">
        <is>
          <t>Categories</t>
        </is>
      </c>
      <c r="C18" s="5" t="inlineStr">
        <is>
          <t>Owners</t>
        </is>
      </c>
      <c r="E18" s="5" t="inlineStr">
        <is>
          <t>Units</t>
        </is>
      </c>
      <c r="G18" s="5" t="inlineStr">
        <is>
          <t>Locations</t>
        </is>
      </c>
    </row>
    <row r="19">
      <c r="B19" s="24" t="inlineStr">
        <is>
          <t>Reagents &amp; kits</t>
        </is>
      </c>
      <c r="C19" s="24" t="inlineStr">
        <is>
          <t>Alex (example)</t>
        </is>
      </c>
      <c r="E19" s="24" t="inlineStr">
        <is>
          <t>pack</t>
        </is>
      </c>
      <c r="G19" s="24" t="inlineStr">
        <is>
          <t>Fridge 1 (4 °C)</t>
        </is>
      </c>
    </row>
    <row r="20">
      <c r="B20" s="24" t="inlineStr">
        <is>
          <t>Cell culture</t>
        </is>
      </c>
      <c r="C20" s="24" t="n"/>
      <c r="E20" s="24" t="inlineStr">
        <is>
          <t>box</t>
        </is>
      </c>
      <c r="G20" s="24" t="inlineStr">
        <is>
          <t>Freezer A (-20 °C)</t>
        </is>
      </c>
    </row>
    <row r="21">
      <c r="B21" s="24" t="inlineStr">
        <is>
          <t>Consumables &amp; plastics</t>
        </is>
      </c>
      <c r="C21" s="24" t="n"/>
      <c r="E21" s="24" t="inlineStr">
        <is>
          <t>bottle</t>
        </is>
      </c>
      <c r="G21" s="24" t="inlineStr">
        <is>
          <t>Freezer B (-80 °C)</t>
        </is>
      </c>
    </row>
    <row r="22">
      <c r="B22" s="24" t="inlineStr">
        <is>
          <t>Chemicals &amp; solvents</t>
        </is>
      </c>
      <c r="C22" s="24" t="n"/>
      <c r="E22" s="24" t="inlineStr">
        <is>
          <t>vial</t>
        </is>
      </c>
      <c r="G22" s="24" t="inlineStr">
        <is>
          <t>Cell culture room</t>
        </is>
      </c>
    </row>
    <row r="23">
      <c r="B23" s="24" t="inlineStr">
        <is>
          <t>Gases</t>
        </is>
      </c>
      <c r="C23" s="24" t="n"/>
      <c r="E23" s="24" t="inlineStr">
        <is>
          <t>kit</t>
        </is>
      </c>
      <c r="G23" s="24" t="inlineStr">
        <is>
          <t>Bench shelf 1</t>
        </is>
      </c>
    </row>
    <row r="24">
      <c r="B24" s="24" t="inlineStr">
        <is>
          <t>Safety &amp; PPE</t>
        </is>
      </c>
      <c r="C24" s="24" t="n"/>
      <c r="E24" s="24" t="inlineStr">
        <is>
          <t>case</t>
        </is>
      </c>
      <c r="G24" s="24" t="inlineStr">
        <is>
          <t>Store room</t>
        </is>
      </c>
    </row>
    <row r="25">
      <c r="B25" s="24" t="inlineStr">
        <is>
          <t>Equipment spares</t>
        </is>
      </c>
      <c r="C25" s="24" t="n"/>
      <c r="E25" s="24" t="inlineStr">
        <is>
          <t>cylinder</t>
        </is>
      </c>
      <c r="G25" s="24" t="n"/>
    </row>
    <row r="26">
      <c r="B26" s="24" t="inlineStr">
        <is>
          <t>Office &amp; other</t>
        </is>
      </c>
      <c r="C26" s="24" t="n"/>
      <c r="E26" s="24" t="inlineStr">
        <is>
          <t>each</t>
        </is>
      </c>
      <c r="G26" s="24" t="n"/>
    </row>
    <row r="27">
      <c r="B27" s="24" t="n"/>
      <c r="C27" s="24" t="n"/>
      <c r="E27" s="24" t="inlineStr">
        <is>
          <t>bag</t>
        </is>
      </c>
      <c r="G27" s="24" t="n"/>
    </row>
    <row r="28">
      <c r="B28" s="24" t="n"/>
      <c r="C28" s="24" t="n"/>
      <c r="E28" s="24" t="inlineStr">
        <is>
          <t>roll</t>
        </is>
      </c>
      <c r="G28" s="24" t="n"/>
    </row>
    <row r="29">
      <c r="B29" s="24" t="n"/>
      <c r="C29" s="24" t="n"/>
      <c r="E29" s="24" t="n"/>
      <c r="G29" s="24" t="n"/>
    </row>
    <row r="30">
      <c r="B30" s="24" t="n"/>
      <c r="C30" s="24" t="n"/>
      <c r="E30" s="24" t="n"/>
      <c r="G30" s="24" t="n"/>
    </row>
    <row r="31">
      <c r="B31" s="24" t="n"/>
      <c r="C31" s="24" t="n"/>
      <c r="E31" s="24" t="n"/>
      <c r="G31" s="24" t="n"/>
    </row>
    <row r="32">
      <c r="B32" s="24" t="n"/>
      <c r="C32" s="24" t="n"/>
      <c r="E32" s="24" t="n"/>
      <c r="G32" s="24" t="n"/>
    </row>
    <row r="33">
      <c r="B33" s="24" t="n"/>
      <c r="C33" s="24" t="n"/>
      <c r="E33" s="24" t="n"/>
      <c r="G33" s="24" t="n"/>
    </row>
    <row r="34">
      <c r="B34" s="24" t="n"/>
      <c r="C34" s="24" t="n"/>
      <c r="E34" s="24" t="n"/>
      <c r="G34" s="24" t="n"/>
    </row>
    <row r="35">
      <c r="B35" s="24" t="n"/>
      <c r="C35" s="24" t="n"/>
      <c r="E35" s="24" t="n"/>
      <c r="G35" s="24" t="n"/>
    </row>
    <row r="36">
      <c r="B36" s="24" t="n"/>
      <c r="C36" s="24" t="n"/>
      <c r="E36" s="24" t="n"/>
      <c r="G36" s="24" t="n"/>
    </row>
    <row r="37">
      <c r="B37" s="24" t="n"/>
      <c r="C37" s="24" t="n"/>
      <c r="E37" s="24" t="n"/>
      <c r="G37" s="24" t="n"/>
    </row>
    <row r="38">
      <c r="B38" s="24" t="n"/>
      <c r="C38" s="24" t="n"/>
      <c r="E38" s="24" t="n"/>
      <c r="G38" s="24" t="n"/>
    </row>
    <row r="40" ht="40" customHeight="1">
      <c r="B40" s="16" t="inlineStr">
        <is>
          <t>These lists feed the dropdowns in the Stock list. Keep the eight categories if you can: the Summary groups spend by them. Add your own locations (one per shelf, fridge or freezer is about right) and the people who own items.</t>
        </is>
      </c>
    </row>
  </sheetData>
  <mergeCells count="14">
    <mergeCell ref="D12:H12"/>
    <mergeCell ref="D7:H7"/>
    <mergeCell ref="D8:H8"/>
    <mergeCell ref="D6:H6"/>
    <mergeCell ref="D15:H15"/>
    <mergeCell ref="D16:H16"/>
    <mergeCell ref="B40:H40"/>
    <mergeCell ref="D10:H10"/>
    <mergeCell ref="D11:H11"/>
    <mergeCell ref="D13:H13"/>
    <mergeCell ref="D5:H5"/>
    <mergeCell ref="D14:H14"/>
    <mergeCell ref="D4:H4"/>
    <mergeCell ref="D9:H9"/>
  </mergeCell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B1:G26"/>
  <sheetViews>
    <sheetView showGridLines="0" workbookViewId="0">
      <selection activeCell="A1" sqref="A1"/>
    </sheetView>
  </sheetViews>
  <sheetFormatPr baseColWidth="8" defaultRowHeight="15"/>
  <cols>
    <col width="3" customWidth="1" min="1" max="1"/>
    <col width="28" customWidth="1" min="2" max="2"/>
    <col width="16" customWidth="1" min="3" max="3"/>
    <col width="40" customWidth="1" min="4" max="4"/>
    <col width="13" customWidth="1" min="5" max="5"/>
    <col width="13" customWidth="1" min="6" max="6"/>
    <col width="44" customWidth="1" min="7" max="7"/>
  </cols>
  <sheetData>
    <row r="1">
      <c r="B1" s="1" t="inlineStr">
        <is>
          <t>Suppliers</t>
        </is>
      </c>
    </row>
    <row r="2">
      <c r="B2" s="2" t="inlineStr">
        <is>
          <t>Your approved list. Each item's lead time defaults to its supplier's unless you override it in the Stock list.</t>
        </is>
      </c>
    </row>
    <row r="4">
      <c r="B4" s="5" t="inlineStr">
        <is>
          <t>Supplier</t>
        </is>
      </c>
      <c r="C4" s="5" t="inlineStr">
        <is>
          <t>Account no.</t>
        </is>
      </c>
      <c r="D4" s="5" t="inlineStr">
        <is>
          <t>Contact / how to order</t>
        </is>
      </c>
      <c r="E4" s="5" t="inlineStr">
        <is>
          <t>Lead time, days</t>
        </is>
      </c>
      <c r="F4" s="5" t="inlineStr">
        <is>
          <t>Minimum order £</t>
        </is>
      </c>
      <c r="G4" s="5" t="inlineStr">
        <is>
          <t>Notes</t>
        </is>
      </c>
    </row>
    <row r="5">
      <c r="B5" s="24" t="inlineStr">
        <is>
          <t>Example Scientific</t>
        </is>
      </c>
      <c r="C5" s="24" t="inlineStr">
        <is>
          <t>TB-10422</t>
        </is>
      </c>
      <c r="D5" s="24" t="inlineStr">
        <is>
          <t>orders@example.com, or the web shop</t>
        </is>
      </c>
      <c r="E5" s="25" t="n">
        <v>5</v>
      </c>
      <c r="F5" s="26" t="n"/>
      <c r="G5" s="24" t="inlineStr">
        <is>
          <t>Example row: replace with your first supplier</t>
        </is>
      </c>
    </row>
    <row r="6">
      <c r="B6" s="24" t="n"/>
      <c r="C6" s="24" t="n"/>
      <c r="D6" s="24" t="n"/>
      <c r="E6" s="25" t="n"/>
      <c r="F6" s="26" t="n"/>
      <c r="G6" s="24" t="n"/>
    </row>
    <row r="7">
      <c r="B7" s="24" t="n"/>
      <c r="C7" s="24" t="n"/>
      <c r="D7" s="24" t="n"/>
      <c r="E7" s="25" t="n"/>
      <c r="F7" s="26" t="n"/>
      <c r="G7" s="24" t="n"/>
    </row>
    <row r="8">
      <c r="B8" s="24" t="n"/>
      <c r="C8" s="24" t="n"/>
      <c r="D8" s="24" t="n"/>
      <c r="E8" s="25" t="n"/>
      <c r="F8" s="26" t="n"/>
      <c r="G8" s="24" t="n"/>
    </row>
    <row r="9">
      <c r="B9" s="24" t="n"/>
      <c r="C9" s="24" t="n"/>
      <c r="D9" s="24" t="n"/>
      <c r="E9" s="25" t="n"/>
      <c r="F9" s="26" t="n"/>
      <c r="G9" s="24" t="n"/>
    </row>
    <row r="10">
      <c r="B10" s="24" t="n"/>
      <c r="C10" s="24" t="n"/>
      <c r="D10" s="24" t="n"/>
      <c r="E10" s="25" t="n"/>
      <c r="F10" s="26" t="n"/>
      <c r="G10" s="24" t="n"/>
    </row>
    <row r="11">
      <c r="B11" s="24" t="n"/>
      <c r="C11" s="24" t="n"/>
      <c r="D11" s="24" t="n"/>
      <c r="E11" s="25" t="n"/>
      <c r="F11" s="26" t="n"/>
      <c r="G11" s="24" t="n"/>
    </row>
    <row r="12">
      <c r="B12" s="24" t="n"/>
      <c r="C12" s="24" t="n"/>
      <c r="D12" s="24" t="n"/>
      <c r="E12" s="25" t="n"/>
      <c r="F12" s="26" t="n"/>
      <c r="G12" s="24" t="n"/>
    </row>
    <row r="13">
      <c r="B13" s="24" t="n"/>
      <c r="C13" s="24" t="n"/>
      <c r="D13" s="24" t="n"/>
      <c r="E13" s="25" t="n"/>
      <c r="F13" s="26" t="n"/>
      <c r="G13" s="24" t="n"/>
    </row>
    <row r="14">
      <c r="B14" s="24" t="n"/>
      <c r="C14" s="24" t="n"/>
      <c r="D14" s="24" t="n"/>
      <c r="E14" s="25" t="n"/>
      <c r="F14" s="26" t="n"/>
      <c r="G14" s="24" t="n"/>
    </row>
    <row r="15">
      <c r="B15" s="24" t="n"/>
      <c r="C15" s="24" t="n"/>
      <c r="D15" s="24" t="n"/>
      <c r="E15" s="25" t="n"/>
      <c r="F15" s="26" t="n"/>
      <c r="G15" s="24" t="n"/>
    </row>
    <row r="16">
      <c r="B16" s="24" t="n"/>
      <c r="C16" s="24" t="n"/>
      <c r="D16" s="24" t="n"/>
      <c r="E16" s="25" t="n"/>
      <c r="F16" s="26" t="n"/>
      <c r="G16" s="24" t="n"/>
    </row>
    <row r="17">
      <c r="B17" s="24" t="n"/>
      <c r="C17" s="24" t="n"/>
      <c r="D17" s="24" t="n"/>
      <c r="E17" s="25" t="n"/>
      <c r="F17" s="26" t="n"/>
      <c r="G17" s="24" t="n"/>
    </row>
    <row r="18">
      <c r="B18" s="24" t="n"/>
      <c r="C18" s="24" t="n"/>
      <c r="D18" s="24" t="n"/>
      <c r="E18" s="25" t="n"/>
      <c r="F18" s="26" t="n"/>
      <c r="G18" s="24" t="n"/>
    </row>
    <row r="19">
      <c r="B19" s="24" t="n"/>
      <c r="C19" s="24" t="n"/>
      <c r="D19" s="24" t="n"/>
      <c r="E19" s="25" t="n"/>
      <c r="F19" s="26" t="n"/>
      <c r="G19" s="24" t="n"/>
    </row>
    <row r="20">
      <c r="B20" s="24" t="n"/>
      <c r="C20" s="24" t="n"/>
      <c r="D20" s="24" t="n"/>
      <c r="E20" s="25" t="n"/>
      <c r="F20" s="26" t="n"/>
      <c r="G20" s="24" t="n"/>
    </row>
    <row r="21">
      <c r="B21" s="24" t="n"/>
      <c r="C21" s="24" t="n"/>
      <c r="D21" s="24" t="n"/>
      <c r="E21" s="25" t="n"/>
      <c r="F21" s="26" t="n"/>
      <c r="G21" s="24" t="n"/>
    </row>
    <row r="22">
      <c r="B22" s="24" t="n"/>
      <c r="C22" s="24" t="n"/>
      <c r="D22" s="24" t="n"/>
      <c r="E22" s="25" t="n"/>
      <c r="F22" s="26" t="n"/>
      <c r="G22" s="24" t="n"/>
    </row>
    <row r="23">
      <c r="B23" s="24" t="n"/>
      <c r="C23" s="24" t="n"/>
      <c r="D23" s="24" t="n"/>
      <c r="E23" s="25" t="n"/>
      <c r="F23" s="26" t="n"/>
      <c r="G23" s="24" t="n"/>
    </row>
    <row r="24">
      <c r="B24" s="24" t="n"/>
      <c r="C24" s="24" t="n"/>
      <c r="D24" s="24" t="n"/>
      <c r="E24" s="25" t="n"/>
      <c r="F24" s="26" t="n"/>
      <c r="G24" s="24" t="n"/>
    </row>
    <row r="26" ht="40" customHeight="1">
      <c r="B26" s="16" t="inlineStr">
        <is>
          <t>Lead time is working days from order to the box in your goods-in, as it actually happens, not as promised. If you do not know, start with 5 and correct it after the first delivery. Buying through a procurement service such as MyAmici? Put that under how to order and use the lead time you actually see. The Summary shows annual spend by supplier: the usual finding is that two or three suppliers could cover most of the list.</t>
        </is>
      </c>
    </row>
  </sheetData>
  <mergeCells count="1">
    <mergeCell ref="B26:G26"/>
  </mergeCell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F1001"/>
  <sheetViews>
    <sheetView workbookViewId="0">
      <pane ySplit="1" topLeftCell="A2" activePane="bottomLeft" state="frozen"/>
      <selection pane="bottomLeft" activeCell="A1" sqref="A1"/>
    </sheetView>
  </sheetViews>
  <sheetFormatPr baseColWidth="8" defaultRowHeight="15"/>
  <cols>
    <col width="11" customWidth="1" min="1" max="1"/>
    <col width="34" customWidth="1" min="2" max="2"/>
    <col width="12" customWidth="1" min="3" max="3"/>
    <col width="8" customWidth="1" min="4" max="4"/>
    <col width="16" customWidth="1" min="5" max="5"/>
    <col width="44" customWidth="1" min="6" max="6"/>
  </cols>
  <sheetData>
    <row r="1">
      <c r="A1" s="5" t="inlineStr">
        <is>
          <t>Date</t>
        </is>
      </c>
      <c r="B1" s="5" t="inlineStr">
        <is>
          <t>Item</t>
        </is>
      </c>
      <c r="C1" s="5" t="inlineStr">
        <is>
          <t>Type</t>
        </is>
      </c>
      <c r="D1" s="5" t="inlineStr">
        <is>
          <t>Qty</t>
        </is>
      </c>
      <c r="E1" s="5" t="inlineStr">
        <is>
          <t>Who</t>
        </is>
      </c>
      <c r="F1" s="5" t="inlineStr">
        <is>
          <t>Note</t>
        </is>
      </c>
    </row>
    <row r="2">
      <c r="A2" s="27" t="n">
        <v>46314</v>
      </c>
      <c r="B2" s="28" t="inlineStr">
        <is>
          <t>Filter tips, 200 µL (example)</t>
        </is>
      </c>
      <c r="C2" s="28" t="inlineStr">
        <is>
          <t>Received</t>
        </is>
      </c>
      <c r="D2" s="29" t="n">
        <v>4</v>
      </c>
      <c r="E2" s="28" t="inlineStr">
        <is>
          <t>Alex (example)</t>
        </is>
      </c>
      <c r="F2" s="28" t="inlineStr">
        <is>
          <t>Example row: a delivery. Delete before you start.</t>
        </is>
      </c>
    </row>
    <row r="3">
      <c r="A3" s="27" t="n"/>
      <c r="B3" s="28" t="n"/>
      <c r="C3" s="28" t="n"/>
      <c r="D3" s="29" t="n"/>
      <c r="E3" s="28" t="n"/>
      <c r="F3" s="28" t="n"/>
    </row>
    <row r="4">
      <c r="A4" s="27" t="n"/>
      <c r="B4" s="28" t="n"/>
      <c r="C4" s="28" t="n"/>
      <c r="D4" s="29" t="n"/>
      <c r="E4" s="28" t="n"/>
      <c r="F4" s="28" t="n"/>
    </row>
    <row r="5">
      <c r="A5" s="27" t="n"/>
      <c r="B5" s="28" t="n"/>
      <c r="C5" s="28" t="n"/>
      <c r="D5" s="29" t="n"/>
      <c r="E5" s="28" t="n"/>
      <c r="F5" s="28" t="n"/>
    </row>
    <row r="6">
      <c r="A6" s="27" t="n"/>
      <c r="B6" s="28" t="n"/>
      <c r="C6" s="28" t="n"/>
      <c r="D6" s="29" t="n"/>
      <c r="E6" s="28" t="n"/>
      <c r="F6" s="28" t="n"/>
    </row>
    <row r="7">
      <c r="A7" s="27" t="n"/>
      <c r="B7" s="28" t="n"/>
      <c r="C7" s="28" t="n"/>
      <c r="D7" s="29" t="n"/>
      <c r="E7" s="28" t="n"/>
      <c r="F7" s="28" t="n"/>
    </row>
    <row r="8">
      <c r="A8" s="27" t="n"/>
      <c r="B8" s="28" t="n"/>
      <c r="C8" s="28" t="n"/>
      <c r="D8" s="29" t="n"/>
      <c r="E8" s="28" t="n"/>
      <c r="F8" s="28" t="n"/>
    </row>
    <row r="9">
      <c r="A9" s="27" t="n"/>
      <c r="B9" s="28" t="n"/>
      <c r="C9" s="28" t="n"/>
      <c r="D9" s="29" t="n"/>
      <c r="E9" s="28" t="n"/>
      <c r="F9" s="28" t="n"/>
    </row>
    <row r="10">
      <c r="A10" s="27" t="n"/>
      <c r="B10" s="28" t="n"/>
      <c r="C10" s="28" t="n"/>
      <c r="D10" s="29" t="n"/>
      <c r="E10" s="28" t="n"/>
      <c r="F10" s="28" t="n"/>
    </row>
    <row r="11">
      <c r="A11" s="27" t="n"/>
      <c r="B11" s="28" t="n"/>
      <c r="C11" s="28" t="n"/>
      <c r="D11" s="29" t="n"/>
      <c r="E11" s="28" t="n"/>
      <c r="F11" s="28" t="n"/>
    </row>
    <row r="12">
      <c r="A12" s="27" t="n"/>
      <c r="B12" s="28" t="n"/>
      <c r="C12" s="28" t="n"/>
      <c r="D12" s="29" t="n"/>
      <c r="E12" s="28" t="n"/>
      <c r="F12" s="28" t="n"/>
    </row>
    <row r="13">
      <c r="A13" s="27" t="n"/>
      <c r="B13" s="28" t="n"/>
      <c r="C13" s="28" t="n"/>
      <c r="D13" s="29" t="n"/>
      <c r="E13" s="28" t="n"/>
      <c r="F13" s="28" t="n"/>
    </row>
    <row r="14">
      <c r="A14" s="27" t="n"/>
      <c r="B14" s="28" t="n"/>
      <c r="C14" s="28" t="n"/>
      <c r="D14" s="29" t="n"/>
      <c r="E14" s="28" t="n"/>
      <c r="F14" s="28" t="n"/>
    </row>
    <row r="15">
      <c r="A15" s="27" t="n"/>
      <c r="B15" s="28" t="n"/>
      <c r="C15" s="28" t="n"/>
      <c r="D15" s="29" t="n"/>
      <c r="E15" s="28" t="n"/>
      <c r="F15" s="28" t="n"/>
    </row>
    <row r="16">
      <c r="A16" s="27" t="n"/>
      <c r="B16" s="28" t="n"/>
      <c r="C16" s="28" t="n"/>
      <c r="D16" s="29" t="n"/>
      <c r="E16" s="28" t="n"/>
      <c r="F16" s="28" t="n"/>
    </row>
    <row r="17">
      <c r="A17" s="27" t="n"/>
      <c r="B17" s="28" t="n"/>
      <c r="C17" s="28" t="n"/>
      <c r="D17" s="29" t="n"/>
      <c r="E17" s="28" t="n"/>
      <c r="F17" s="28" t="n"/>
    </row>
    <row r="18">
      <c r="A18" s="27" t="n"/>
      <c r="B18" s="28" t="n"/>
      <c r="C18" s="28" t="n"/>
      <c r="D18" s="29" t="n"/>
      <c r="E18" s="28" t="n"/>
      <c r="F18" s="28" t="n"/>
    </row>
    <row r="19">
      <c r="A19" s="27" t="n"/>
      <c r="B19" s="28" t="n"/>
      <c r="C19" s="28" t="n"/>
      <c r="D19" s="29" t="n"/>
      <c r="E19" s="28" t="n"/>
      <c r="F19" s="28" t="n"/>
    </row>
    <row r="20">
      <c r="A20" s="27" t="n"/>
      <c r="B20" s="28" t="n"/>
      <c r="C20" s="28" t="n"/>
      <c r="D20" s="29" t="n"/>
      <c r="E20" s="28" t="n"/>
      <c r="F20" s="28" t="n"/>
    </row>
    <row r="21">
      <c r="A21" s="27" t="n"/>
      <c r="B21" s="28" t="n"/>
      <c r="C21" s="28" t="n"/>
      <c r="D21" s="29" t="n"/>
      <c r="E21" s="28" t="n"/>
      <c r="F21" s="28" t="n"/>
    </row>
    <row r="22">
      <c r="A22" s="27" t="n"/>
      <c r="B22" s="28" t="n"/>
      <c r="C22" s="28" t="n"/>
      <c r="D22" s="29" t="n"/>
      <c r="E22" s="28" t="n"/>
      <c r="F22" s="28" t="n"/>
    </row>
    <row r="23">
      <c r="A23" s="27" t="n"/>
      <c r="B23" s="28" t="n"/>
      <c r="C23" s="28" t="n"/>
      <c r="D23" s="29" t="n"/>
      <c r="E23" s="28" t="n"/>
      <c r="F23" s="28" t="n"/>
    </row>
    <row r="24">
      <c r="A24" s="27" t="n"/>
      <c r="B24" s="28" t="n"/>
      <c r="C24" s="28" t="n"/>
      <c r="D24" s="29" t="n"/>
      <c r="E24" s="28" t="n"/>
      <c r="F24" s="28" t="n"/>
    </row>
    <row r="25">
      <c r="A25" s="27" t="n"/>
      <c r="B25" s="28" t="n"/>
      <c r="C25" s="28" t="n"/>
      <c r="D25" s="29" t="n"/>
      <c r="E25" s="28" t="n"/>
      <c r="F25" s="28" t="n"/>
    </row>
    <row r="26">
      <c r="A26" s="27" t="n"/>
      <c r="B26" s="28" t="n"/>
      <c r="C26" s="28" t="n"/>
      <c r="D26" s="29" t="n"/>
      <c r="E26" s="28" t="n"/>
      <c r="F26" s="28" t="n"/>
    </row>
    <row r="27">
      <c r="A27" s="27" t="n"/>
      <c r="B27" s="28" t="n"/>
      <c r="C27" s="28" t="n"/>
      <c r="D27" s="29" t="n"/>
      <c r="E27" s="28" t="n"/>
      <c r="F27" s="28" t="n"/>
    </row>
    <row r="28">
      <c r="A28" s="27" t="n"/>
      <c r="B28" s="28" t="n"/>
      <c r="C28" s="28" t="n"/>
      <c r="D28" s="29" t="n"/>
      <c r="E28" s="28" t="n"/>
      <c r="F28" s="28" t="n"/>
    </row>
    <row r="29">
      <c r="A29" s="27" t="n"/>
      <c r="B29" s="28" t="n"/>
      <c r="C29" s="28" t="n"/>
      <c r="D29" s="29" t="n"/>
      <c r="E29" s="28" t="n"/>
      <c r="F29" s="28" t="n"/>
    </row>
    <row r="30">
      <c r="A30" s="27" t="n"/>
      <c r="B30" s="28" t="n"/>
      <c r="C30" s="28" t="n"/>
      <c r="D30" s="29" t="n"/>
      <c r="E30" s="28" t="n"/>
      <c r="F30" s="28" t="n"/>
    </row>
    <row r="31">
      <c r="A31" s="27" t="n"/>
      <c r="B31" s="28" t="n"/>
      <c r="C31" s="28" t="n"/>
      <c r="D31" s="29" t="n"/>
      <c r="E31" s="28" t="n"/>
      <c r="F31" s="28" t="n"/>
    </row>
    <row r="32">
      <c r="A32" s="27" t="n"/>
      <c r="B32" s="28" t="n"/>
      <c r="C32" s="28" t="n"/>
      <c r="D32" s="29" t="n"/>
      <c r="E32" s="28" t="n"/>
      <c r="F32" s="28" t="n"/>
    </row>
    <row r="33">
      <c r="A33" s="27" t="n"/>
      <c r="B33" s="28" t="n"/>
      <c r="C33" s="28" t="n"/>
      <c r="D33" s="29" t="n"/>
      <c r="E33" s="28" t="n"/>
      <c r="F33" s="28" t="n"/>
    </row>
    <row r="34">
      <c r="A34" s="27" t="n"/>
      <c r="B34" s="28" t="n"/>
      <c r="C34" s="28" t="n"/>
      <c r="D34" s="29" t="n"/>
      <c r="E34" s="28" t="n"/>
      <c r="F34" s="28" t="n"/>
    </row>
    <row r="35">
      <c r="A35" s="27" t="n"/>
      <c r="B35" s="28" t="n"/>
      <c r="C35" s="28" t="n"/>
      <c r="D35" s="29" t="n"/>
      <c r="E35" s="28" t="n"/>
      <c r="F35" s="28" t="n"/>
    </row>
    <row r="36">
      <c r="A36" s="27" t="n"/>
      <c r="B36" s="28" t="n"/>
      <c r="C36" s="28" t="n"/>
      <c r="D36" s="29" t="n"/>
      <c r="E36" s="28" t="n"/>
      <c r="F36" s="28" t="n"/>
    </row>
    <row r="37">
      <c r="A37" s="27" t="n"/>
      <c r="B37" s="28" t="n"/>
      <c r="C37" s="28" t="n"/>
      <c r="D37" s="29" t="n"/>
      <c r="E37" s="28" t="n"/>
      <c r="F37" s="28" t="n"/>
    </row>
    <row r="38">
      <c r="A38" s="27" t="n"/>
      <c r="B38" s="28" t="n"/>
      <c r="C38" s="28" t="n"/>
      <c r="D38" s="29" t="n"/>
      <c r="E38" s="28" t="n"/>
      <c r="F38" s="28" t="n"/>
    </row>
    <row r="39">
      <c r="A39" s="27" t="n"/>
      <c r="B39" s="28" t="n"/>
      <c r="C39" s="28" t="n"/>
      <c r="D39" s="29" t="n"/>
      <c r="E39" s="28" t="n"/>
      <c r="F39" s="28" t="n"/>
    </row>
    <row r="40">
      <c r="A40" s="27" t="n"/>
      <c r="B40" s="28" t="n"/>
      <c r="C40" s="28" t="n"/>
      <c r="D40" s="29" t="n"/>
      <c r="E40" s="28" t="n"/>
      <c r="F40" s="28" t="n"/>
    </row>
    <row r="41">
      <c r="A41" s="27" t="n"/>
      <c r="B41" s="28" t="n"/>
      <c r="C41" s="28" t="n"/>
      <c r="D41" s="29" t="n"/>
      <c r="E41" s="28" t="n"/>
      <c r="F41" s="28" t="n"/>
    </row>
    <row r="42">
      <c r="A42" s="27" t="n"/>
      <c r="B42" s="28" t="n"/>
      <c r="C42" s="28" t="n"/>
      <c r="D42" s="29" t="n"/>
      <c r="E42" s="28" t="n"/>
      <c r="F42" s="28" t="n"/>
    </row>
    <row r="43">
      <c r="A43" s="27" t="n"/>
      <c r="B43" s="28" t="n"/>
      <c r="C43" s="28" t="n"/>
      <c r="D43" s="29" t="n"/>
      <c r="E43" s="28" t="n"/>
      <c r="F43" s="28" t="n"/>
    </row>
    <row r="44">
      <c r="A44" s="27" t="n"/>
      <c r="B44" s="28" t="n"/>
      <c r="C44" s="28" t="n"/>
      <c r="D44" s="29" t="n"/>
      <c r="E44" s="28" t="n"/>
      <c r="F44" s="28" t="n"/>
    </row>
    <row r="45">
      <c r="A45" s="27" t="n"/>
      <c r="B45" s="28" t="n"/>
      <c r="C45" s="28" t="n"/>
      <c r="D45" s="29" t="n"/>
      <c r="E45" s="28" t="n"/>
      <c r="F45" s="28" t="n"/>
    </row>
    <row r="46">
      <c r="A46" s="27" t="n"/>
      <c r="B46" s="28" t="n"/>
      <c r="C46" s="28" t="n"/>
      <c r="D46" s="29" t="n"/>
      <c r="E46" s="28" t="n"/>
      <c r="F46" s="28" t="n"/>
    </row>
    <row r="47">
      <c r="A47" s="27" t="n"/>
      <c r="B47" s="28" t="n"/>
      <c r="C47" s="28" t="n"/>
      <c r="D47" s="29" t="n"/>
      <c r="E47" s="28" t="n"/>
      <c r="F47" s="28" t="n"/>
    </row>
    <row r="48">
      <c r="A48" s="27" t="n"/>
      <c r="B48" s="28" t="n"/>
      <c r="C48" s="28" t="n"/>
      <c r="D48" s="29" t="n"/>
      <c r="E48" s="28" t="n"/>
      <c r="F48" s="28" t="n"/>
    </row>
    <row r="49">
      <c r="A49" s="27" t="n"/>
      <c r="B49" s="28" t="n"/>
      <c r="C49" s="28" t="n"/>
      <c r="D49" s="29" t="n"/>
      <c r="E49" s="28" t="n"/>
      <c r="F49" s="28" t="n"/>
    </row>
    <row r="50">
      <c r="A50" s="27" t="n"/>
      <c r="B50" s="28" t="n"/>
      <c r="C50" s="28" t="n"/>
      <c r="D50" s="29" t="n"/>
      <c r="E50" s="28" t="n"/>
      <c r="F50" s="28" t="n"/>
    </row>
    <row r="51">
      <c r="A51" s="27" t="n"/>
      <c r="B51" s="28" t="n"/>
      <c r="C51" s="28" t="n"/>
      <c r="D51" s="29" t="n"/>
      <c r="E51" s="28" t="n"/>
      <c r="F51" s="28" t="n"/>
    </row>
    <row r="52">
      <c r="A52" s="27" t="n"/>
      <c r="B52" s="28" t="n"/>
      <c r="C52" s="28" t="n"/>
      <c r="D52" s="29" t="n"/>
      <c r="E52" s="28" t="n"/>
      <c r="F52" s="28" t="n"/>
    </row>
    <row r="53">
      <c r="A53" s="27" t="n"/>
      <c r="B53" s="28" t="n"/>
      <c r="C53" s="28" t="n"/>
      <c r="D53" s="29" t="n"/>
      <c r="E53" s="28" t="n"/>
      <c r="F53" s="28" t="n"/>
    </row>
    <row r="54">
      <c r="A54" s="27" t="n"/>
      <c r="B54" s="28" t="n"/>
      <c r="C54" s="28" t="n"/>
      <c r="D54" s="29" t="n"/>
      <c r="E54" s="28" t="n"/>
      <c r="F54" s="28" t="n"/>
    </row>
    <row r="55">
      <c r="A55" s="27" t="n"/>
      <c r="B55" s="28" t="n"/>
      <c r="C55" s="28" t="n"/>
      <c r="D55" s="29" t="n"/>
      <c r="E55" s="28" t="n"/>
      <c r="F55" s="28" t="n"/>
    </row>
    <row r="56">
      <c r="A56" s="27" t="n"/>
      <c r="B56" s="28" t="n"/>
      <c r="C56" s="28" t="n"/>
      <c r="D56" s="29" t="n"/>
      <c r="E56" s="28" t="n"/>
      <c r="F56" s="28" t="n"/>
    </row>
    <row r="57">
      <c r="A57" s="27" t="n"/>
      <c r="B57" s="28" t="n"/>
      <c r="C57" s="28" t="n"/>
      <c r="D57" s="29" t="n"/>
      <c r="E57" s="28" t="n"/>
      <c r="F57" s="28" t="n"/>
    </row>
    <row r="58">
      <c r="A58" s="27" t="n"/>
      <c r="B58" s="28" t="n"/>
      <c r="C58" s="28" t="n"/>
      <c r="D58" s="29" t="n"/>
      <c r="E58" s="28" t="n"/>
      <c r="F58" s="28" t="n"/>
    </row>
    <row r="59">
      <c r="A59" s="27" t="n"/>
      <c r="B59" s="28" t="n"/>
      <c r="C59" s="28" t="n"/>
      <c r="D59" s="29" t="n"/>
      <c r="E59" s="28" t="n"/>
      <c r="F59" s="28" t="n"/>
    </row>
    <row r="60">
      <c r="A60" s="27" t="n"/>
      <c r="B60" s="28" t="n"/>
      <c r="C60" s="28" t="n"/>
      <c r="D60" s="29" t="n"/>
      <c r="E60" s="28" t="n"/>
      <c r="F60" s="28" t="n"/>
    </row>
    <row r="61">
      <c r="A61" s="27" t="n"/>
      <c r="B61" s="28" t="n"/>
      <c r="C61" s="28" t="n"/>
      <c r="D61" s="29" t="n"/>
      <c r="E61" s="28" t="n"/>
      <c r="F61" s="28" t="n"/>
    </row>
    <row r="62">
      <c r="A62" s="27" t="n"/>
      <c r="B62" s="28" t="n"/>
      <c r="C62" s="28" t="n"/>
      <c r="D62" s="29" t="n"/>
      <c r="E62" s="28" t="n"/>
      <c r="F62" s="28" t="n"/>
    </row>
    <row r="63">
      <c r="A63" s="27" t="n"/>
      <c r="B63" s="28" t="n"/>
      <c r="C63" s="28" t="n"/>
      <c r="D63" s="29" t="n"/>
      <c r="E63" s="28" t="n"/>
      <c r="F63" s="28" t="n"/>
    </row>
    <row r="64">
      <c r="A64" s="27" t="n"/>
      <c r="B64" s="28" t="n"/>
      <c r="C64" s="28" t="n"/>
      <c r="D64" s="29" t="n"/>
      <c r="E64" s="28" t="n"/>
      <c r="F64" s="28" t="n"/>
    </row>
    <row r="65">
      <c r="A65" s="27" t="n"/>
      <c r="B65" s="28" t="n"/>
      <c r="C65" s="28" t="n"/>
      <c r="D65" s="29" t="n"/>
      <c r="E65" s="28" t="n"/>
      <c r="F65" s="28" t="n"/>
    </row>
    <row r="66">
      <c r="A66" s="27" t="n"/>
      <c r="B66" s="28" t="n"/>
      <c r="C66" s="28" t="n"/>
      <c r="D66" s="29" t="n"/>
      <c r="E66" s="28" t="n"/>
      <c r="F66" s="28" t="n"/>
    </row>
    <row r="67">
      <c r="A67" s="27" t="n"/>
      <c r="B67" s="28" t="n"/>
      <c r="C67" s="28" t="n"/>
      <c r="D67" s="29" t="n"/>
      <c r="E67" s="28" t="n"/>
      <c r="F67" s="28" t="n"/>
    </row>
    <row r="68">
      <c r="A68" s="27" t="n"/>
      <c r="B68" s="28" t="n"/>
      <c r="C68" s="28" t="n"/>
      <c r="D68" s="29" t="n"/>
      <c r="E68" s="28" t="n"/>
      <c r="F68" s="28" t="n"/>
    </row>
    <row r="69">
      <c r="A69" s="27" t="n"/>
      <c r="B69" s="28" t="n"/>
      <c r="C69" s="28" t="n"/>
      <c r="D69" s="29" t="n"/>
      <c r="E69" s="28" t="n"/>
      <c r="F69" s="28" t="n"/>
    </row>
    <row r="70">
      <c r="A70" s="27" t="n"/>
      <c r="B70" s="28" t="n"/>
      <c r="C70" s="28" t="n"/>
      <c r="D70" s="29" t="n"/>
      <c r="E70" s="28" t="n"/>
      <c r="F70" s="28" t="n"/>
    </row>
    <row r="71">
      <c r="A71" s="27" t="n"/>
      <c r="B71" s="28" t="n"/>
      <c r="C71" s="28" t="n"/>
      <c r="D71" s="29" t="n"/>
      <c r="E71" s="28" t="n"/>
      <c r="F71" s="28" t="n"/>
    </row>
    <row r="72">
      <c r="A72" s="27" t="n"/>
      <c r="B72" s="28" t="n"/>
      <c r="C72" s="28" t="n"/>
      <c r="D72" s="29" t="n"/>
      <c r="E72" s="28" t="n"/>
      <c r="F72" s="28" t="n"/>
    </row>
    <row r="73">
      <c r="A73" s="27" t="n"/>
      <c r="B73" s="28" t="n"/>
      <c r="C73" s="28" t="n"/>
      <c r="D73" s="29" t="n"/>
      <c r="E73" s="28" t="n"/>
      <c r="F73" s="28" t="n"/>
    </row>
    <row r="74">
      <c r="A74" s="27" t="n"/>
      <c r="B74" s="28" t="n"/>
      <c r="C74" s="28" t="n"/>
      <c r="D74" s="29" t="n"/>
      <c r="E74" s="28" t="n"/>
      <c r="F74" s="28" t="n"/>
    </row>
    <row r="75">
      <c r="A75" s="27" t="n"/>
      <c r="B75" s="28" t="n"/>
      <c r="C75" s="28" t="n"/>
      <c r="D75" s="29" t="n"/>
      <c r="E75" s="28" t="n"/>
      <c r="F75" s="28" t="n"/>
    </row>
    <row r="76">
      <c r="A76" s="27" t="n"/>
      <c r="B76" s="28" t="n"/>
      <c r="C76" s="28" t="n"/>
      <c r="D76" s="29" t="n"/>
      <c r="E76" s="28" t="n"/>
      <c r="F76" s="28" t="n"/>
    </row>
    <row r="77">
      <c r="A77" s="27" t="n"/>
      <c r="B77" s="28" t="n"/>
      <c r="C77" s="28" t="n"/>
      <c r="D77" s="29" t="n"/>
      <c r="E77" s="28" t="n"/>
      <c r="F77" s="28" t="n"/>
    </row>
    <row r="78">
      <c r="A78" s="27" t="n"/>
      <c r="B78" s="28" t="n"/>
      <c r="C78" s="28" t="n"/>
      <c r="D78" s="29" t="n"/>
      <c r="E78" s="28" t="n"/>
      <c r="F78" s="28" t="n"/>
    </row>
    <row r="79">
      <c r="A79" s="27" t="n"/>
      <c r="B79" s="28" t="n"/>
      <c r="C79" s="28" t="n"/>
      <c r="D79" s="29" t="n"/>
      <c r="E79" s="28" t="n"/>
      <c r="F79" s="28" t="n"/>
    </row>
    <row r="80">
      <c r="A80" s="27" t="n"/>
      <c r="B80" s="28" t="n"/>
      <c r="C80" s="28" t="n"/>
      <c r="D80" s="29" t="n"/>
      <c r="E80" s="28" t="n"/>
      <c r="F80" s="28" t="n"/>
    </row>
    <row r="81">
      <c r="A81" s="27" t="n"/>
      <c r="B81" s="28" t="n"/>
      <c r="C81" s="28" t="n"/>
      <c r="D81" s="29" t="n"/>
      <c r="E81" s="28" t="n"/>
      <c r="F81" s="28" t="n"/>
    </row>
    <row r="82">
      <c r="A82" s="27" t="n"/>
      <c r="B82" s="28" t="n"/>
      <c r="C82" s="28" t="n"/>
      <c r="D82" s="29" t="n"/>
      <c r="E82" s="28" t="n"/>
      <c r="F82" s="28" t="n"/>
    </row>
    <row r="83">
      <c r="A83" s="27" t="n"/>
      <c r="B83" s="28" t="n"/>
      <c r="C83" s="28" t="n"/>
      <c r="D83" s="29" t="n"/>
      <c r="E83" s="28" t="n"/>
      <c r="F83" s="28" t="n"/>
    </row>
    <row r="84">
      <c r="A84" s="27" t="n"/>
      <c r="B84" s="28" t="n"/>
      <c r="C84" s="28" t="n"/>
      <c r="D84" s="29" t="n"/>
      <c r="E84" s="28" t="n"/>
      <c r="F84" s="28" t="n"/>
    </row>
    <row r="85">
      <c r="A85" s="27" t="n"/>
      <c r="B85" s="28" t="n"/>
      <c r="C85" s="28" t="n"/>
      <c r="D85" s="29" t="n"/>
      <c r="E85" s="28" t="n"/>
      <c r="F85" s="28" t="n"/>
    </row>
    <row r="86">
      <c r="A86" s="27" t="n"/>
      <c r="B86" s="28" t="n"/>
      <c r="C86" s="28" t="n"/>
      <c r="D86" s="29" t="n"/>
      <c r="E86" s="28" t="n"/>
      <c r="F86" s="28" t="n"/>
    </row>
    <row r="87">
      <c r="A87" s="27" t="n"/>
      <c r="B87" s="28" t="n"/>
      <c r="C87" s="28" t="n"/>
      <c r="D87" s="29" t="n"/>
      <c r="E87" s="28" t="n"/>
      <c r="F87" s="28" t="n"/>
    </row>
    <row r="88">
      <c r="A88" s="27" t="n"/>
      <c r="B88" s="28" t="n"/>
      <c r="C88" s="28" t="n"/>
      <c r="D88" s="29" t="n"/>
      <c r="E88" s="28" t="n"/>
      <c r="F88" s="28" t="n"/>
    </row>
    <row r="89">
      <c r="A89" s="27" t="n"/>
      <c r="B89" s="28" t="n"/>
      <c r="C89" s="28" t="n"/>
      <c r="D89" s="29" t="n"/>
      <c r="E89" s="28" t="n"/>
      <c r="F89" s="28" t="n"/>
    </row>
    <row r="90">
      <c r="A90" s="27" t="n"/>
      <c r="B90" s="28" t="n"/>
      <c r="C90" s="28" t="n"/>
      <c r="D90" s="29" t="n"/>
      <c r="E90" s="28" t="n"/>
      <c r="F90" s="28" t="n"/>
    </row>
    <row r="91">
      <c r="A91" s="27" t="n"/>
      <c r="B91" s="28" t="n"/>
      <c r="C91" s="28" t="n"/>
      <c r="D91" s="29" t="n"/>
      <c r="E91" s="28" t="n"/>
      <c r="F91" s="28" t="n"/>
    </row>
    <row r="92">
      <c r="A92" s="27" t="n"/>
      <c r="B92" s="28" t="n"/>
      <c r="C92" s="28" t="n"/>
      <c r="D92" s="29" t="n"/>
      <c r="E92" s="28" t="n"/>
      <c r="F92" s="28" t="n"/>
    </row>
    <row r="93">
      <c r="A93" s="27" t="n"/>
      <c r="B93" s="28" t="n"/>
      <c r="C93" s="28" t="n"/>
      <c r="D93" s="29" t="n"/>
      <c r="E93" s="28" t="n"/>
      <c r="F93" s="28" t="n"/>
    </row>
    <row r="94">
      <c r="A94" s="27" t="n"/>
      <c r="B94" s="28" t="n"/>
      <c r="C94" s="28" t="n"/>
      <c r="D94" s="29" t="n"/>
      <c r="E94" s="28" t="n"/>
      <c r="F94" s="28" t="n"/>
    </row>
    <row r="95">
      <c r="A95" s="27" t="n"/>
      <c r="B95" s="28" t="n"/>
      <c r="C95" s="28" t="n"/>
      <c r="D95" s="29" t="n"/>
      <c r="E95" s="28" t="n"/>
      <c r="F95" s="28" t="n"/>
    </row>
    <row r="96">
      <c r="A96" s="27" t="n"/>
      <c r="B96" s="28" t="n"/>
      <c r="C96" s="28" t="n"/>
      <c r="D96" s="29" t="n"/>
      <c r="E96" s="28" t="n"/>
      <c r="F96" s="28" t="n"/>
    </row>
    <row r="97">
      <c r="A97" s="27" t="n"/>
      <c r="B97" s="28" t="n"/>
      <c r="C97" s="28" t="n"/>
      <c r="D97" s="29" t="n"/>
      <c r="E97" s="28" t="n"/>
      <c r="F97" s="28" t="n"/>
    </row>
    <row r="98">
      <c r="A98" s="27" t="n"/>
      <c r="B98" s="28" t="n"/>
      <c r="C98" s="28" t="n"/>
      <c r="D98" s="29" t="n"/>
      <c r="E98" s="28" t="n"/>
      <c r="F98" s="28" t="n"/>
    </row>
    <row r="99">
      <c r="A99" s="27" t="n"/>
      <c r="B99" s="28" t="n"/>
      <c r="C99" s="28" t="n"/>
      <c r="D99" s="29" t="n"/>
      <c r="E99" s="28" t="n"/>
      <c r="F99" s="28" t="n"/>
    </row>
    <row r="100">
      <c r="A100" s="27" t="n"/>
      <c r="B100" s="28" t="n"/>
      <c r="C100" s="28" t="n"/>
      <c r="D100" s="29" t="n"/>
      <c r="E100" s="28" t="n"/>
      <c r="F100" s="28" t="n"/>
    </row>
    <row r="101">
      <c r="A101" s="27" t="n"/>
      <c r="B101" s="28" t="n"/>
      <c r="C101" s="28" t="n"/>
      <c r="D101" s="29" t="n"/>
      <c r="E101" s="28" t="n"/>
      <c r="F101" s="28" t="n"/>
    </row>
    <row r="102">
      <c r="A102" s="27" t="n"/>
      <c r="B102" s="28" t="n"/>
      <c r="C102" s="28" t="n"/>
      <c r="D102" s="29" t="n"/>
      <c r="E102" s="28" t="n"/>
      <c r="F102" s="28" t="n"/>
    </row>
    <row r="103">
      <c r="A103" s="27" t="n"/>
      <c r="B103" s="28" t="n"/>
      <c r="C103" s="28" t="n"/>
      <c r="D103" s="29" t="n"/>
      <c r="E103" s="28" t="n"/>
      <c r="F103" s="28" t="n"/>
    </row>
    <row r="104">
      <c r="A104" s="27" t="n"/>
      <c r="B104" s="28" t="n"/>
      <c r="C104" s="28" t="n"/>
      <c r="D104" s="29" t="n"/>
      <c r="E104" s="28" t="n"/>
      <c r="F104" s="28" t="n"/>
    </row>
    <row r="105">
      <c r="A105" s="27" t="n"/>
      <c r="B105" s="28" t="n"/>
      <c r="C105" s="28" t="n"/>
      <c r="D105" s="29" t="n"/>
      <c r="E105" s="28" t="n"/>
      <c r="F105" s="28" t="n"/>
    </row>
    <row r="106">
      <c r="A106" s="27" t="n"/>
      <c r="B106" s="28" t="n"/>
      <c r="C106" s="28" t="n"/>
      <c r="D106" s="29" t="n"/>
      <c r="E106" s="28" t="n"/>
      <c r="F106" s="28" t="n"/>
    </row>
    <row r="107">
      <c r="A107" s="27" t="n"/>
      <c r="B107" s="28" t="n"/>
      <c r="C107" s="28" t="n"/>
      <c r="D107" s="29" t="n"/>
      <c r="E107" s="28" t="n"/>
      <c r="F107" s="28" t="n"/>
    </row>
    <row r="108">
      <c r="A108" s="27" t="n"/>
      <c r="B108" s="28" t="n"/>
      <c r="C108" s="28" t="n"/>
      <c r="D108" s="29" t="n"/>
      <c r="E108" s="28" t="n"/>
      <c r="F108" s="28" t="n"/>
    </row>
    <row r="109">
      <c r="A109" s="27" t="n"/>
      <c r="B109" s="28" t="n"/>
      <c r="C109" s="28" t="n"/>
      <c r="D109" s="29" t="n"/>
      <c r="E109" s="28" t="n"/>
      <c r="F109" s="28" t="n"/>
    </row>
    <row r="110">
      <c r="A110" s="27" t="n"/>
      <c r="B110" s="28" t="n"/>
      <c r="C110" s="28" t="n"/>
      <c r="D110" s="29" t="n"/>
      <c r="E110" s="28" t="n"/>
      <c r="F110" s="28" t="n"/>
    </row>
    <row r="111">
      <c r="A111" s="27" t="n"/>
      <c r="B111" s="28" t="n"/>
      <c r="C111" s="28" t="n"/>
      <c r="D111" s="29" t="n"/>
      <c r="E111" s="28" t="n"/>
      <c r="F111" s="28" t="n"/>
    </row>
    <row r="112">
      <c r="A112" s="27" t="n"/>
      <c r="B112" s="28" t="n"/>
      <c r="C112" s="28" t="n"/>
      <c r="D112" s="29" t="n"/>
      <c r="E112" s="28" t="n"/>
      <c r="F112" s="28" t="n"/>
    </row>
    <row r="113">
      <c r="A113" s="27" t="n"/>
      <c r="B113" s="28" t="n"/>
      <c r="C113" s="28" t="n"/>
      <c r="D113" s="29" t="n"/>
      <c r="E113" s="28" t="n"/>
      <c r="F113" s="28" t="n"/>
    </row>
    <row r="114">
      <c r="A114" s="27" t="n"/>
      <c r="B114" s="28" t="n"/>
      <c r="C114" s="28" t="n"/>
      <c r="D114" s="29" t="n"/>
      <c r="E114" s="28" t="n"/>
      <c r="F114" s="28" t="n"/>
    </row>
    <row r="115">
      <c r="A115" s="27" t="n"/>
      <c r="B115" s="28" t="n"/>
      <c r="C115" s="28" t="n"/>
      <c r="D115" s="29" t="n"/>
      <c r="E115" s="28" t="n"/>
      <c r="F115" s="28" t="n"/>
    </row>
    <row r="116">
      <c r="A116" s="27" t="n"/>
      <c r="B116" s="28" t="n"/>
      <c r="C116" s="28" t="n"/>
      <c r="D116" s="29" t="n"/>
      <c r="E116" s="28" t="n"/>
      <c r="F116" s="28" t="n"/>
    </row>
    <row r="117">
      <c r="A117" s="27" t="n"/>
      <c r="B117" s="28" t="n"/>
      <c r="C117" s="28" t="n"/>
      <c r="D117" s="29" t="n"/>
      <c r="E117" s="28" t="n"/>
      <c r="F117" s="28" t="n"/>
    </row>
    <row r="118">
      <c r="A118" s="27" t="n"/>
      <c r="B118" s="28" t="n"/>
      <c r="C118" s="28" t="n"/>
      <c r="D118" s="29" t="n"/>
      <c r="E118" s="28" t="n"/>
      <c r="F118" s="28" t="n"/>
    </row>
    <row r="119">
      <c r="A119" s="27" t="n"/>
      <c r="B119" s="28" t="n"/>
      <c r="C119" s="28" t="n"/>
      <c r="D119" s="29" t="n"/>
      <c r="E119" s="28" t="n"/>
      <c r="F119" s="28" t="n"/>
    </row>
    <row r="120">
      <c r="A120" s="27" t="n"/>
      <c r="B120" s="28" t="n"/>
      <c r="C120" s="28" t="n"/>
      <c r="D120" s="29" t="n"/>
      <c r="E120" s="28" t="n"/>
      <c r="F120" s="28" t="n"/>
    </row>
    <row r="121">
      <c r="A121" s="27" t="n"/>
      <c r="B121" s="28" t="n"/>
      <c r="C121" s="28" t="n"/>
      <c r="D121" s="29" t="n"/>
      <c r="E121" s="28" t="n"/>
      <c r="F121" s="28" t="n"/>
    </row>
    <row r="122">
      <c r="A122" s="27" t="n"/>
      <c r="B122" s="28" t="n"/>
      <c r="C122" s="28" t="n"/>
      <c r="D122" s="29" t="n"/>
      <c r="E122" s="28" t="n"/>
      <c r="F122" s="28" t="n"/>
    </row>
    <row r="123">
      <c r="A123" s="27" t="n"/>
      <c r="B123" s="28" t="n"/>
      <c r="C123" s="28" t="n"/>
      <c r="D123" s="29" t="n"/>
      <c r="E123" s="28" t="n"/>
      <c r="F123" s="28" t="n"/>
    </row>
    <row r="124">
      <c r="A124" s="27" t="n"/>
      <c r="B124" s="28" t="n"/>
      <c r="C124" s="28" t="n"/>
      <c r="D124" s="29" t="n"/>
      <c r="E124" s="28" t="n"/>
      <c r="F124" s="28" t="n"/>
    </row>
    <row r="125">
      <c r="A125" s="27" t="n"/>
      <c r="B125" s="28" t="n"/>
      <c r="C125" s="28" t="n"/>
      <c r="D125" s="29" t="n"/>
      <c r="E125" s="28" t="n"/>
      <c r="F125" s="28" t="n"/>
    </row>
    <row r="126">
      <c r="A126" s="27" t="n"/>
      <c r="B126" s="28" t="n"/>
      <c r="C126" s="28" t="n"/>
      <c r="D126" s="29" t="n"/>
      <c r="E126" s="28" t="n"/>
      <c r="F126" s="28" t="n"/>
    </row>
    <row r="127">
      <c r="A127" s="27" t="n"/>
      <c r="B127" s="28" t="n"/>
      <c r="C127" s="28" t="n"/>
      <c r="D127" s="29" t="n"/>
      <c r="E127" s="28" t="n"/>
      <c r="F127" s="28" t="n"/>
    </row>
    <row r="128">
      <c r="A128" s="27" t="n"/>
      <c r="B128" s="28" t="n"/>
      <c r="C128" s="28" t="n"/>
      <c r="D128" s="29" t="n"/>
      <c r="E128" s="28" t="n"/>
      <c r="F128" s="28" t="n"/>
    </row>
    <row r="129">
      <c r="A129" s="27" t="n"/>
      <c r="B129" s="28" t="n"/>
      <c r="C129" s="28" t="n"/>
      <c r="D129" s="29" t="n"/>
      <c r="E129" s="28" t="n"/>
      <c r="F129" s="28" t="n"/>
    </row>
    <row r="130">
      <c r="A130" s="27" t="n"/>
      <c r="B130" s="28" t="n"/>
      <c r="C130" s="28" t="n"/>
      <c r="D130" s="29" t="n"/>
      <c r="E130" s="28" t="n"/>
      <c r="F130" s="28" t="n"/>
    </row>
    <row r="131">
      <c r="A131" s="27" t="n"/>
      <c r="B131" s="28" t="n"/>
      <c r="C131" s="28" t="n"/>
      <c r="D131" s="29" t="n"/>
      <c r="E131" s="28" t="n"/>
      <c r="F131" s="28" t="n"/>
    </row>
    <row r="132">
      <c r="A132" s="27" t="n"/>
      <c r="B132" s="28" t="n"/>
      <c r="C132" s="28" t="n"/>
      <c r="D132" s="29" t="n"/>
      <c r="E132" s="28" t="n"/>
      <c r="F132" s="28" t="n"/>
    </row>
    <row r="133">
      <c r="A133" s="27" t="n"/>
      <c r="B133" s="28" t="n"/>
      <c r="C133" s="28" t="n"/>
      <c r="D133" s="29" t="n"/>
      <c r="E133" s="28" t="n"/>
      <c r="F133" s="28" t="n"/>
    </row>
    <row r="134">
      <c r="A134" s="27" t="n"/>
      <c r="B134" s="28" t="n"/>
      <c r="C134" s="28" t="n"/>
      <c r="D134" s="29" t="n"/>
      <c r="E134" s="28" t="n"/>
      <c r="F134" s="28" t="n"/>
    </row>
    <row r="135">
      <c r="A135" s="27" t="n"/>
      <c r="B135" s="28" t="n"/>
      <c r="C135" s="28" t="n"/>
      <c r="D135" s="29" t="n"/>
      <c r="E135" s="28" t="n"/>
      <c r="F135" s="28" t="n"/>
    </row>
    <row r="136">
      <c r="A136" s="27" t="n"/>
      <c r="B136" s="28" t="n"/>
      <c r="C136" s="28" t="n"/>
      <c r="D136" s="29" t="n"/>
      <c r="E136" s="28" t="n"/>
      <c r="F136" s="28" t="n"/>
    </row>
    <row r="137">
      <c r="A137" s="27" t="n"/>
      <c r="B137" s="28" t="n"/>
      <c r="C137" s="28" t="n"/>
      <c r="D137" s="29" t="n"/>
      <c r="E137" s="28" t="n"/>
      <c r="F137" s="28" t="n"/>
    </row>
    <row r="138">
      <c r="A138" s="27" t="n"/>
      <c r="B138" s="28" t="n"/>
      <c r="C138" s="28" t="n"/>
      <c r="D138" s="29" t="n"/>
      <c r="E138" s="28" t="n"/>
      <c r="F138" s="28" t="n"/>
    </row>
    <row r="139">
      <c r="A139" s="27" t="n"/>
      <c r="B139" s="28" t="n"/>
      <c r="C139" s="28" t="n"/>
      <c r="D139" s="29" t="n"/>
      <c r="E139" s="28" t="n"/>
      <c r="F139" s="28" t="n"/>
    </row>
    <row r="140">
      <c r="A140" s="27" t="n"/>
      <c r="B140" s="28" t="n"/>
      <c r="C140" s="28" t="n"/>
      <c r="D140" s="29" t="n"/>
      <c r="E140" s="28" t="n"/>
      <c r="F140" s="28" t="n"/>
    </row>
    <row r="141">
      <c r="A141" s="27" t="n"/>
      <c r="B141" s="28" t="n"/>
      <c r="C141" s="28" t="n"/>
      <c r="D141" s="29" t="n"/>
      <c r="E141" s="28" t="n"/>
      <c r="F141" s="28" t="n"/>
    </row>
    <row r="142">
      <c r="A142" s="27" t="n"/>
      <c r="B142" s="28" t="n"/>
      <c r="C142" s="28" t="n"/>
      <c r="D142" s="29" t="n"/>
      <c r="E142" s="28" t="n"/>
      <c r="F142" s="28" t="n"/>
    </row>
    <row r="143">
      <c r="A143" s="27" t="n"/>
      <c r="B143" s="28" t="n"/>
      <c r="C143" s="28" t="n"/>
      <c r="D143" s="29" t="n"/>
      <c r="E143" s="28" t="n"/>
      <c r="F143" s="28" t="n"/>
    </row>
    <row r="144">
      <c r="A144" s="27" t="n"/>
      <c r="B144" s="28" t="n"/>
      <c r="C144" s="28" t="n"/>
      <c r="D144" s="29" t="n"/>
      <c r="E144" s="28" t="n"/>
      <c r="F144" s="28" t="n"/>
    </row>
    <row r="145">
      <c r="A145" s="27" t="n"/>
      <c r="B145" s="28" t="n"/>
      <c r="C145" s="28" t="n"/>
      <c r="D145" s="29" t="n"/>
      <c r="E145" s="28" t="n"/>
      <c r="F145" s="28" t="n"/>
    </row>
    <row r="146">
      <c r="A146" s="27" t="n"/>
      <c r="B146" s="28" t="n"/>
      <c r="C146" s="28" t="n"/>
      <c r="D146" s="29" t="n"/>
      <c r="E146" s="28" t="n"/>
      <c r="F146" s="28" t="n"/>
    </row>
    <row r="147">
      <c r="A147" s="27" t="n"/>
      <c r="B147" s="28" t="n"/>
      <c r="C147" s="28" t="n"/>
      <c r="D147" s="29" t="n"/>
      <c r="E147" s="28" t="n"/>
      <c r="F147" s="28" t="n"/>
    </row>
    <row r="148">
      <c r="A148" s="27" t="n"/>
      <c r="B148" s="28" t="n"/>
      <c r="C148" s="28" t="n"/>
      <c r="D148" s="29" t="n"/>
      <c r="E148" s="28" t="n"/>
      <c r="F148" s="28" t="n"/>
    </row>
    <row r="149">
      <c r="A149" s="27" t="n"/>
      <c r="B149" s="28" t="n"/>
      <c r="C149" s="28" t="n"/>
      <c r="D149" s="29" t="n"/>
      <c r="E149" s="28" t="n"/>
      <c r="F149" s="28" t="n"/>
    </row>
    <row r="150">
      <c r="A150" s="27" t="n"/>
      <c r="B150" s="28" t="n"/>
      <c r="C150" s="28" t="n"/>
      <c r="D150" s="29" t="n"/>
      <c r="E150" s="28" t="n"/>
      <c r="F150" s="28" t="n"/>
    </row>
    <row r="151">
      <c r="A151" s="27" t="n"/>
      <c r="B151" s="28" t="n"/>
      <c r="C151" s="28" t="n"/>
      <c r="D151" s="29" t="n"/>
      <c r="E151" s="28" t="n"/>
      <c r="F151" s="28" t="n"/>
    </row>
    <row r="152">
      <c r="A152" s="27" t="n"/>
      <c r="B152" s="28" t="n"/>
      <c r="C152" s="28" t="n"/>
      <c r="D152" s="29" t="n"/>
      <c r="E152" s="28" t="n"/>
      <c r="F152" s="28" t="n"/>
    </row>
    <row r="153">
      <c r="A153" s="27" t="n"/>
      <c r="B153" s="28" t="n"/>
      <c r="C153" s="28" t="n"/>
      <c r="D153" s="29" t="n"/>
      <c r="E153" s="28" t="n"/>
      <c r="F153" s="28" t="n"/>
    </row>
    <row r="154">
      <c r="A154" s="27" t="n"/>
      <c r="B154" s="28" t="n"/>
      <c r="C154" s="28" t="n"/>
      <c r="D154" s="29" t="n"/>
      <c r="E154" s="28" t="n"/>
      <c r="F154" s="28" t="n"/>
    </row>
    <row r="155">
      <c r="A155" s="27" t="n"/>
      <c r="B155" s="28" t="n"/>
      <c r="C155" s="28" t="n"/>
      <c r="D155" s="29" t="n"/>
      <c r="E155" s="28" t="n"/>
      <c r="F155" s="28" t="n"/>
    </row>
    <row r="156">
      <c r="A156" s="27" t="n"/>
      <c r="B156" s="28" t="n"/>
      <c r="C156" s="28" t="n"/>
      <c r="D156" s="29" t="n"/>
      <c r="E156" s="28" t="n"/>
      <c r="F156" s="28" t="n"/>
    </row>
    <row r="157">
      <c r="A157" s="27" t="n"/>
      <c r="B157" s="28" t="n"/>
      <c r="C157" s="28" t="n"/>
      <c r="D157" s="29" t="n"/>
      <c r="E157" s="28" t="n"/>
      <c r="F157" s="28" t="n"/>
    </row>
    <row r="158">
      <c r="A158" s="27" t="n"/>
      <c r="B158" s="28" t="n"/>
      <c r="C158" s="28" t="n"/>
      <c r="D158" s="29" t="n"/>
      <c r="E158" s="28" t="n"/>
      <c r="F158" s="28" t="n"/>
    </row>
    <row r="159">
      <c r="A159" s="27" t="n"/>
      <c r="B159" s="28" t="n"/>
      <c r="C159" s="28" t="n"/>
      <c r="D159" s="29" t="n"/>
      <c r="E159" s="28" t="n"/>
      <c r="F159" s="28" t="n"/>
    </row>
    <row r="160">
      <c r="A160" s="27" t="n"/>
      <c r="B160" s="28" t="n"/>
      <c r="C160" s="28" t="n"/>
      <c r="D160" s="29" t="n"/>
      <c r="E160" s="28" t="n"/>
      <c r="F160" s="28" t="n"/>
    </row>
    <row r="161">
      <c r="A161" s="27" t="n"/>
      <c r="B161" s="28" t="n"/>
      <c r="C161" s="28" t="n"/>
      <c r="D161" s="29" t="n"/>
      <c r="E161" s="28" t="n"/>
      <c r="F161" s="28" t="n"/>
    </row>
    <row r="162">
      <c r="A162" s="27" t="n"/>
      <c r="B162" s="28" t="n"/>
      <c r="C162" s="28" t="n"/>
      <c r="D162" s="29" t="n"/>
      <c r="E162" s="28" t="n"/>
      <c r="F162" s="28" t="n"/>
    </row>
    <row r="163">
      <c r="A163" s="27" t="n"/>
      <c r="B163" s="28" t="n"/>
      <c r="C163" s="28" t="n"/>
      <c r="D163" s="29" t="n"/>
      <c r="E163" s="28" t="n"/>
      <c r="F163" s="28" t="n"/>
    </row>
    <row r="164">
      <c r="A164" s="27" t="n"/>
      <c r="B164" s="28" t="n"/>
      <c r="C164" s="28" t="n"/>
      <c r="D164" s="29" t="n"/>
      <c r="E164" s="28" t="n"/>
      <c r="F164" s="28" t="n"/>
    </row>
    <row r="165">
      <c r="A165" s="27" t="n"/>
      <c r="B165" s="28" t="n"/>
      <c r="C165" s="28" t="n"/>
      <c r="D165" s="29" t="n"/>
      <c r="E165" s="28" t="n"/>
      <c r="F165" s="28" t="n"/>
    </row>
    <row r="166">
      <c r="A166" s="27" t="n"/>
      <c r="B166" s="28" t="n"/>
      <c r="C166" s="28" t="n"/>
      <c r="D166" s="29" t="n"/>
      <c r="E166" s="28" t="n"/>
      <c r="F166" s="28" t="n"/>
    </row>
    <row r="167">
      <c r="A167" s="27" t="n"/>
      <c r="B167" s="28" t="n"/>
      <c r="C167" s="28" t="n"/>
      <c r="D167" s="29" t="n"/>
      <c r="E167" s="28" t="n"/>
      <c r="F167" s="28" t="n"/>
    </row>
    <row r="168">
      <c r="A168" s="27" t="n"/>
      <c r="B168" s="28" t="n"/>
      <c r="C168" s="28" t="n"/>
      <c r="D168" s="29" t="n"/>
      <c r="E168" s="28" t="n"/>
      <c r="F168" s="28" t="n"/>
    </row>
    <row r="169">
      <c r="A169" s="27" t="n"/>
      <c r="B169" s="28" t="n"/>
      <c r="C169" s="28" t="n"/>
      <c r="D169" s="29" t="n"/>
      <c r="E169" s="28" t="n"/>
      <c r="F169" s="28" t="n"/>
    </row>
    <row r="170">
      <c r="A170" s="27" t="n"/>
      <c r="B170" s="28" t="n"/>
      <c r="C170" s="28" t="n"/>
      <c r="D170" s="29" t="n"/>
      <c r="E170" s="28" t="n"/>
      <c r="F170" s="28" t="n"/>
    </row>
    <row r="171">
      <c r="A171" s="27" t="n"/>
      <c r="B171" s="28" t="n"/>
      <c r="C171" s="28" t="n"/>
      <c r="D171" s="29" t="n"/>
      <c r="E171" s="28" t="n"/>
      <c r="F171" s="28" t="n"/>
    </row>
    <row r="172">
      <c r="A172" s="27" t="n"/>
      <c r="B172" s="28" t="n"/>
      <c r="C172" s="28" t="n"/>
      <c r="D172" s="29" t="n"/>
      <c r="E172" s="28" t="n"/>
      <c r="F172" s="28" t="n"/>
    </row>
    <row r="173">
      <c r="A173" s="27" t="n"/>
      <c r="B173" s="28" t="n"/>
      <c r="C173" s="28" t="n"/>
      <c r="D173" s="29" t="n"/>
      <c r="E173" s="28" t="n"/>
      <c r="F173" s="28" t="n"/>
    </row>
    <row r="174">
      <c r="A174" s="27" t="n"/>
      <c r="B174" s="28" t="n"/>
      <c r="C174" s="28" t="n"/>
      <c r="D174" s="29" t="n"/>
      <c r="E174" s="28" t="n"/>
      <c r="F174" s="28" t="n"/>
    </row>
    <row r="175">
      <c r="A175" s="27" t="n"/>
      <c r="B175" s="28" t="n"/>
      <c r="C175" s="28" t="n"/>
      <c r="D175" s="29" t="n"/>
      <c r="E175" s="28" t="n"/>
      <c r="F175" s="28" t="n"/>
    </row>
    <row r="176">
      <c r="A176" s="27" t="n"/>
      <c r="B176" s="28" t="n"/>
      <c r="C176" s="28" t="n"/>
      <c r="D176" s="29" t="n"/>
      <c r="E176" s="28" t="n"/>
      <c r="F176" s="28" t="n"/>
    </row>
    <row r="177">
      <c r="A177" s="27" t="n"/>
      <c r="B177" s="28" t="n"/>
      <c r="C177" s="28" t="n"/>
      <c r="D177" s="29" t="n"/>
      <c r="E177" s="28" t="n"/>
      <c r="F177" s="28" t="n"/>
    </row>
    <row r="178">
      <c r="A178" s="27" t="n"/>
      <c r="B178" s="28" t="n"/>
      <c r="C178" s="28" t="n"/>
      <c r="D178" s="29" t="n"/>
      <c r="E178" s="28" t="n"/>
      <c r="F178" s="28" t="n"/>
    </row>
    <row r="179">
      <c r="A179" s="27" t="n"/>
      <c r="B179" s="28" t="n"/>
      <c r="C179" s="28" t="n"/>
      <c r="D179" s="29" t="n"/>
      <c r="E179" s="28" t="n"/>
      <c r="F179" s="28" t="n"/>
    </row>
    <row r="180">
      <c r="A180" s="27" t="n"/>
      <c r="B180" s="28" t="n"/>
      <c r="C180" s="28" t="n"/>
      <c r="D180" s="29" t="n"/>
      <c r="E180" s="28" t="n"/>
      <c r="F180" s="28" t="n"/>
    </row>
    <row r="181">
      <c r="A181" s="27" t="n"/>
      <c r="B181" s="28" t="n"/>
      <c r="C181" s="28" t="n"/>
      <c r="D181" s="29" t="n"/>
      <c r="E181" s="28" t="n"/>
      <c r="F181" s="28" t="n"/>
    </row>
    <row r="182">
      <c r="A182" s="27" t="n"/>
      <c r="B182" s="28" t="n"/>
      <c r="C182" s="28" t="n"/>
      <c r="D182" s="29" t="n"/>
      <c r="E182" s="28" t="n"/>
      <c r="F182" s="28" t="n"/>
    </row>
    <row r="183">
      <c r="A183" s="27" t="n"/>
      <c r="B183" s="28" t="n"/>
      <c r="C183" s="28" t="n"/>
      <c r="D183" s="29" t="n"/>
      <c r="E183" s="28" t="n"/>
      <c r="F183" s="28" t="n"/>
    </row>
    <row r="184">
      <c r="A184" s="27" t="n"/>
      <c r="B184" s="28" t="n"/>
      <c r="C184" s="28" t="n"/>
      <c r="D184" s="29" t="n"/>
      <c r="E184" s="28" t="n"/>
      <c r="F184" s="28" t="n"/>
    </row>
    <row r="185">
      <c r="A185" s="27" t="n"/>
      <c r="B185" s="28" t="n"/>
      <c r="C185" s="28" t="n"/>
      <c r="D185" s="29" t="n"/>
      <c r="E185" s="28" t="n"/>
      <c r="F185" s="28" t="n"/>
    </row>
    <row r="186">
      <c r="A186" s="27" t="n"/>
      <c r="B186" s="28" t="n"/>
      <c r="C186" s="28" t="n"/>
      <c r="D186" s="29" t="n"/>
      <c r="E186" s="28" t="n"/>
      <c r="F186" s="28" t="n"/>
    </row>
    <row r="187">
      <c r="A187" s="27" t="n"/>
      <c r="B187" s="28" t="n"/>
      <c r="C187" s="28" t="n"/>
      <c r="D187" s="29" t="n"/>
      <c r="E187" s="28" t="n"/>
      <c r="F187" s="28" t="n"/>
    </row>
    <row r="188">
      <c r="A188" s="27" t="n"/>
      <c r="B188" s="28" t="n"/>
      <c r="C188" s="28" t="n"/>
      <c r="D188" s="29" t="n"/>
      <c r="E188" s="28" t="n"/>
      <c r="F188" s="28" t="n"/>
    </row>
    <row r="189">
      <c r="A189" s="27" t="n"/>
      <c r="B189" s="28" t="n"/>
      <c r="C189" s="28" t="n"/>
      <c r="D189" s="29" t="n"/>
      <c r="E189" s="28" t="n"/>
      <c r="F189" s="28" t="n"/>
    </row>
    <row r="190">
      <c r="A190" s="27" t="n"/>
      <c r="B190" s="28" t="n"/>
      <c r="C190" s="28" t="n"/>
      <c r="D190" s="29" t="n"/>
      <c r="E190" s="28" t="n"/>
      <c r="F190" s="28" t="n"/>
    </row>
    <row r="191">
      <c r="A191" s="27" t="n"/>
      <c r="B191" s="28" t="n"/>
      <c r="C191" s="28" t="n"/>
      <c r="D191" s="29" t="n"/>
      <c r="E191" s="28" t="n"/>
      <c r="F191" s="28" t="n"/>
    </row>
    <row r="192">
      <c r="A192" s="27" t="n"/>
      <c r="B192" s="28" t="n"/>
      <c r="C192" s="28" t="n"/>
      <c r="D192" s="29" t="n"/>
      <c r="E192" s="28" t="n"/>
      <c r="F192" s="28" t="n"/>
    </row>
    <row r="193">
      <c r="A193" s="27" t="n"/>
      <c r="B193" s="28" t="n"/>
      <c r="C193" s="28" t="n"/>
      <c r="D193" s="29" t="n"/>
      <c r="E193" s="28" t="n"/>
      <c r="F193" s="28" t="n"/>
    </row>
    <row r="194">
      <c r="A194" s="27" t="n"/>
      <c r="B194" s="28" t="n"/>
      <c r="C194" s="28" t="n"/>
      <c r="D194" s="29" t="n"/>
      <c r="E194" s="28" t="n"/>
      <c r="F194" s="28" t="n"/>
    </row>
    <row r="195">
      <c r="A195" s="27" t="n"/>
      <c r="B195" s="28" t="n"/>
      <c r="C195" s="28" t="n"/>
      <c r="D195" s="29" t="n"/>
      <c r="E195" s="28" t="n"/>
      <c r="F195" s="28" t="n"/>
    </row>
    <row r="196">
      <c r="A196" s="27" t="n"/>
      <c r="B196" s="28" t="n"/>
      <c r="C196" s="28" t="n"/>
      <c r="D196" s="29" t="n"/>
      <c r="E196" s="28" t="n"/>
      <c r="F196" s="28" t="n"/>
    </row>
    <row r="197">
      <c r="A197" s="27" t="n"/>
      <c r="B197" s="28" t="n"/>
      <c r="C197" s="28" t="n"/>
      <c r="D197" s="29" t="n"/>
      <c r="E197" s="28" t="n"/>
      <c r="F197" s="28" t="n"/>
    </row>
    <row r="198">
      <c r="A198" s="27" t="n"/>
      <c r="B198" s="28" t="n"/>
      <c r="C198" s="28" t="n"/>
      <c r="D198" s="29" t="n"/>
      <c r="E198" s="28" t="n"/>
      <c r="F198" s="28" t="n"/>
    </row>
    <row r="199">
      <c r="A199" s="27" t="n"/>
      <c r="B199" s="28" t="n"/>
      <c r="C199" s="28" t="n"/>
      <c r="D199" s="29" t="n"/>
      <c r="E199" s="28" t="n"/>
      <c r="F199" s="28" t="n"/>
    </row>
    <row r="200">
      <c r="A200" s="27" t="n"/>
      <c r="B200" s="28" t="n"/>
      <c r="C200" s="28" t="n"/>
      <c r="D200" s="29" t="n"/>
      <c r="E200" s="28" t="n"/>
      <c r="F200" s="28" t="n"/>
    </row>
    <row r="201">
      <c r="A201" s="27" t="n"/>
      <c r="B201" s="28" t="n"/>
      <c r="C201" s="28" t="n"/>
      <c r="D201" s="29" t="n"/>
      <c r="E201" s="28" t="n"/>
      <c r="F201" s="28" t="n"/>
    </row>
    <row r="202">
      <c r="A202" s="27" t="n"/>
      <c r="B202" s="28" t="n"/>
      <c r="C202" s="28" t="n"/>
      <c r="D202" s="29" t="n"/>
      <c r="E202" s="28" t="n"/>
      <c r="F202" s="28" t="n"/>
    </row>
    <row r="203">
      <c r="A203" s="27" t="n"/>
      <c r="B203" s="28" t="n"/>
      <c r="C203" s="28" t="n"/>
      <c r="D203" s="29" t="n"/>
      <c r="E203" s="28" t="n"/>
      <c r="F203" s="28" t="n"/>
    </row>
    <row r="204">
      <c r="A204" s="27" t="n"/>
      <c r="B204" s="28" t="n"/>
      <c r="C204" s="28" t="n"/>
      <c r="D204" s="29" t="n"/>
      <c r="E204" s="28" t="n"/>
      <c r="F204" s="28" t="n"/>
    </row>
    <row r="205">
      <c r="A205" s="27" t="n"/>
      <c r="B205" s="28" t="n"/>
      <c r="C205" s="28" t="n"/>
      <c r="D205" s="29" t="n"/>
      <c r="E205" s="28" t="n"/>
      <c r="F205" s="28" t="n"/>
    </row>
    <row r="206">
      <c r="A206" s="27" t="n"/>
      <c r="B206" s="28" t="n"/>
      <c r="C206" s="28" t="n"/>
      <c r="D206" s="29" t="n"/>
      <c r="E206" s="28" t="n"/>
      <c r="F206" s="28" t="n"/>
    </row>
    <row r="207">
      <c r="A207" s="27" t="n"/>
      <c r="B207" s="28" t="n"/>
      <c r="C207" s="28" t="n"/>
      <c r="D207" s="29" t="n"/>
      <c r="E207" s="28" t="n"/>
      <c r="F207" s="28" t="n"/>
    </row>
    <row r="208">
      <c r="A208" s="27" t="n"/>
      <c r="B208" s="28" t="n"/>
      <c r="C208" s="28" t="n"/>
      <c r="D208" s="29" t="n"/>
      <c r="E208" s="28" t="n"/>
      <c r="F208" s="28" t="n"/>
    </row>
    <row r="209">
      <c r="A209" s="27" t="n"/>
      <c r="B209" s="28" t="n"/>
      <c r="C209" s="28" t="n"/>
      <c r="D209" s="29" t="n"/>
      <c r="E209" s="28" t="n"/>
      <c r="F209" s="28" t="n"/>
    </row>
    <row r="210">
      <c r="A210" s="27" t="n"/>
      <c r="B210" s="28" t="n"/>
      <c r="C210" s="28" t="n"/>
      <c r="D210" s="29" t="n"/>
      <c r="E210" s="28" t="n"/>
      <c r="F210" s="28" t="n"/>
    </row>
    <row r="211">
      <c r="A211" s="27" t="n"/>
      <c r="B211" s="28" t="n"/>
      <c r="C211" s="28" t="n"/>
      <c r="D211" s="29" t="n"/>
      <c r="E211" s="28" t="n"/>
      <c r="F211" s="28" t="n"/>
    </row>
    <row r="212">
      <c r="A212" s="27" t="n"/>
      <c r="B212" s="28" t="n"/>
      <c r="C212" s="28" t="n"/>
      <c r="D212" s="29" t="n"/>
      <c r="E212" s="28" t="n"/>
      <c r="F212" s="28" t="n"/>
    </row>
    <row r="213">
      <c r="A213" s="27" t="n"/>
      <c r="B213" s="28" t="n"/>
      <c r="C213" s="28" t="n"/>
      <c r="D213" s="29" t="n"/>
      <c r="E213" s="28" t="n"/>
      <c r="F213" s="28" t="n"/>
    </row>
    <row r="214">
      <c r="A214" s="27" t="n"/>
      <c r="B214" s="28" t="n"/>
      <c r="C214" s="28" t="n"/>
      <c r="D214" s="29" t="n"/>
      <c r="E214" s="28" t="n"/>
      <c r="F214" s="28" t="n"/>
    </row>
    <row r="215">
      <c r="A215" s="27" t="n"/>
      <c r="B215" s="28" t="n"/>
      <c r="C215" s="28" t="n"/>
      <c r="D215" s="29" t="n"/>
      <c r="E215" s="28" t="n"/>
      <c r="F215" s="28" t="n"/>
    </row>
    <row r="216">
      <c r="A216" s="27" t="n"/>
      <c r="B216" s="28" t="n"/>
      <c r="C216" s="28" t="n"/>
      <c r="D216" s="29" t="n"/>
      <c r="E216" s="28" t="n"/>
      <c r="F216" s="28" t="n"/>
    </row>
    <row r="217">
      <c r="A217" s="27" t="n"/>
      <c r="B217" s="28" t="n"/>
      <c r="C217" s="28" t="n"/>
      <c r="D217" s="29" t="n"/>
      <c r="E217" s="28" t="n"/>
      <c r="F217" s="28" t="n"/>
    </row>
    <row r="218">
      <c r="A218" s="27" t="n"/>
      <c r="B218" s="28" t="n"/>
      <c r="C218" s="28" t="n"/>
      <c r="D218" s="29" t="n"/>
      <c r="E218" s="28" t="n"/>
      <c r="F218" s="28" t="n"/>
    </row>
    <row r="219">
      <c r="A219" s="27" t="n"/>
      <c r="B219" s="28" t="n"/>
      <c r="C219" s="28" t="n"/>
      <c r="D219" s="29" t="n"/>
      <c r="E219" s="28" t="n"/>
      <c r="F219" s="28" t="n"/>
    </row>
    <row r="220">
      <c r="A220" s="27" t="n"/>
      <c r="B220" s="28" t="n"/>
      <c r="C220" s="28" t="n"/>
      <c r="D220" s="29" t="n"/>
      <c r="E220" s="28" t="n"/>
      <c r="F220" s="28" t="n"/>
    </row>
    <row r="221">
      <c r="A221" s="27" t="n"/>
      <c r="B221" s="28" t="n"/>
      <c r="C221" s="28" t="n"/>
      <c r="D221" s="29" t="n"/>
      <c r="E221" s="28" t="n"/>
      <c r="F221" s="28" t="n"/>
    </row>
    <row r="222">
      <c r="A222" s="27" t="n"/>
      <c r="B222" s="28" t="n"/>
      <c r="C222" s="28" t="n"/>
      <c r="D222" s="29" t="n"/>
      <c r="E222" s="28" t="n"/>
      <c r="F222" s="28" t="n"/>
    </row>
    <row r="223">
      <c r="A223" s="27" t="n"/>
      <c r="B223" s="28" t="n"/>
      <c r="C223" s="28" t="n"/>
      <c r="D223" s="29" t="n"/>
      <c r="E223" s="28" t="n"/>
      <c r="F223" s="28" t="n"/>
    </row>
    <row r="224">
      <c r="A224" s="27" t="n"/>
      <c r="B224" s="28" t="n"/>
      <c r="C224" s="28" t="n"/>
      <c r="D224" s="29" t="n"/>
      <c r="E224" s="28" t="n"/>
      <c r="F224" s="28" t="n"/>
    </row>
    <row r="225">
      <c r="A225" s="27" t="n"/>
      <c r="B225" s="28" t="n"/>
      <c r="C225" s="28" t="n"/>
      <c r="D225" s="29" t="n"/>
      <c r="E225" s="28" t="n"/>
      <c r="F225" s="28" t="n"/>
    </row>
    <row r="226">
      <c r="A226" s="27" t="n"/>
      <c r="B226" s="28" t="n"/>
      <c r="C226" s="28" t="n"/>
      <c r="D226" s="29" t="n"/>
      <c r="E226" s="28" t="n"/>
      <c r="F226" s="28" t="n"/>
    </row>
    <row r="227">
      <c r="A227" s="27" t="n"/>
      <c r="B227" s="28" t="n"/>
      <c r="C227" s="28" t="n"/>
      <c r="D227" s="29" t="n"/>
      <c r="E227" s="28" t="n"/>
      <c r="F227" s="28" t="n"/>
    </row>
    <row r="228">
      <c r="A228" s="27" t="n"/>
      <c r="B228" s="28" t="n"/>
      <c r="C228" s="28" t="n"/>
      <c r="D228" s="29" t="n"/>
      <c r="E228" s="28" t="n"/>
      <c r="F228" s="28" t="n"/>
    </row>
    <row r="229">
      <c r="A229" s="27" t="n"/>
      <c r="B229" s="28" t="n"/>
      <c r="C229" s="28" t="n"/>
      <c r="D229" s="29" t="n"/>
      <c r="E229" s="28" t="n"/>
      <c r="F229" s="28" t="n"/>
    </row>
    <row r="230">
      <c r="A230" s="27" t="n"/>
      <c r="B230" s="28" t="n"/>
      <c r="C230" s="28" t="n"/>
      <c r="D230" s="29" t="n"/>
      <c r="E230" s="28" t="n"/>
      <c r="F230" s="28" t="n"/>
    </row>
    <row r="231">
      <c r="A231" s="27" t="n"/>
      <c r="B231" s="28" t="n"/>
      <c r="C231" s="28" t="n"/>
      <c r="D231" s="29" t="n"/>
      <c r="E231" s="28" t="n"/>
      <c r="F231" s="28" t="n"/>
    </row>
    <row r="232">
      <c r="A232" s="27" t="n"/>
      <c r="B232" s="28" t="n"/>
      <c r="C232" s="28" t="n"/>
      <c r="D232" s="29" t="n"/>
      <c r="E232" s="28" t="n"/>
      <c r="F232" s="28" t="n"/>
    </row>
    <row r="233">
      <c r="A233" s="27" t="n"/>
      <c r="B233" s="28" t="n"/>
      <c r="C233" s="28" t="n"/>
      <c r="D233" s="29" t="n"/>
      <c r="E233" s="28" t="n"/>
      <c r="F233" s="28" t="n"/>
    </row>
    <row r="234">
      <c r="A234" s="27" t="n"/>
      <c r="B234" s="28" t="n"/>
      <c r="C234" s="28" t="n"/>
      <c r="D234" s="29" t="n"/>
      <c r="E234" s="28" t="n"/>
      <c r="F234" s="28" t="n"/>
    </row>
    <row r="235">
      <c r="A235" s="27" t="n"/>
      <c r="B235" s="28" t="n"/>
      <c r="C235" s="28" t="n"/>
      <c r="D235" s="29" t="n"/>
      <c r="E235" s="28" t="n"/>
      <c r="F235" s="28" t="n"/>
    </row>
    <row r="236">
      <c r="A236" s="27" t="n"/>
      <c r="B236" s="28" t="n"/>
      <c r="C236" s="28" t="n"/>
      <c r="D236" s="29" t="n"/>
      <c r="E236" s="28" t="n"/>
      <c r="F236" s="28" t="n"/>
    </row>
    <row r="237">
      <c r="A237" s="27" t="n"/>
      <c r="B237" s="28" t="n"/>
      <c r="C237" s="28" t="n"/>
      <c r="D237" s="29" t="n"/>
      <c r="E237" s="28" t="n"/>
      <c r="F237" s="28" t="n"/>
    </row>
    <row r="238">
      <c r="A238" s="27" t="n"/>
      <c r="B238" s="28" t="n"/>
      <c r="C238" s="28" t="n"/>
      <c r="D238" s="29" t="n"/>
      <c r="E238" s="28" t="n"/>
      <c r="F238" s="28" t="n"/>
    </row>
    <row r="239">
      <c r="A239" s="27" t="n"/>
      <c r="B239" s="28" t="n"/>
      <c r="C239" s="28" t="n"/>
      <c r="D239" s="29" t="n"/>
      <c r="E239" s="28" t="n"/>
      <c r="F239" s="28" t="n"/>
    </row>
    <row r="240">
      <c r="A240" s="27" t="n"/>
      <c r="B240" s="28" t="n"/>
      <c r="C240" s="28" t="n"/>
      <c r="D240" s="29" t="n"/>
      <c r="E240" s="28" t="n"/>
      <c r="F240" s="28" t="n"/>
    </row>
    <row r="241">
      <c r="A241" s="27" t="n"/>
      <c r="B241" s="28" t="n"/>
      <c r="C241" s="28" t="n"/>
      <c r="D241" s="29" t="n"/>
      <c r="E241" s="28" t="n"/>
      <c r="F241" s="28" t="n"/>
    </row>
    <row r="242">
      <c r="A242" s="27" t="n"/>
      <c r="B242" s="28" t="n"/>
      <c r="C242" s="28" t="n"/>
      <c r="D242" s="29" t="n"/>
      <c r="E242" s="28" t="n"/>
      <c r="F242" s="28" t="n"/>
    </row>
    <row r="243">
      <c r="A243" s="27" t="n"/>
      <c r="B243" s="28" t="n"/>
      <c r="C243" s="28" t="n"/>
      <c r="D243" s="29" t="n"/>
      <c r="E243" s="28" t="n"/>
      <c r="F243" s="28" t="n"/>
    </row>
    <row r="244">
      <c r="A244" s="27" t="n"/>
      <c r="B244" s="28" t="n"/>
      <c r="C244" s="28" t="n"/>
      <c r="D244" s="29" t="n"/>
      <c r="E244" s="28" t="n"/>
      <c r="F244" s="28" t="n"/>
    </row>
    <row r="245">
      <c r="A245" s="27" t="n"/>
      <c r="B245" s="28" t="n"/>
      <c r="C245" s="28" t="n"/>
      <c r="D245" s="29" t="n"/>
      <c r="E245" s="28" t="n"/>
      <c r="F245" s="28" t="n"/>
    </row>
    <row r="246">
      <c r="A246" s="27" t="n"/>
      <c r="B246" s="28" t="n"/>
      <c r="C246" s="28" t="n"/>
      <c r="D246" s="29" t="n"/>
      <c r="E246" s="28" t="n"/>
      <c r="F246" s="28" t="n"/>
    </row>
    <row r="247">
      <c r="A247" s="27" t="n"/>
      <c r="B247" s="28" t="n"/>
      <c r="C247" s="28" t="n"/>
      <c r="D247" s="29" t="n"/>
      <c r="E247" s="28" t="n"/>
      <c r="F247" s="28" t="n"/>
    </row>
    <row r="248">
      <c r="A248" s="27" t="n"/>
      <c r="B248" s="28" t="n"/>
      <c r="C248" s="28" t="n"/>
      <c r="D248" s="29" t="n"/>
      <c r="E248" s="28" t="n"/>
      <c r="F248" s="28" t="n"/>
    </row>
    <row r="249">
      <c r="A249" s="27" t="n"/>
      <c r="B249" s="28" t="n"/>
      <c r="C249" s="28" t="n"/>
      <c r="D249" s="29" t="n"/>
      <c r="E249" s="28" t="n"/>
      <c r="F249" s="28" t="n"/>
    </row>
    <row r="250">
      <c r="A250" s="27" t="n"/>
      <c r="B250" s="28" t="n"/>
      <c r="C250" s="28" t="n"/>
      <c r="D250" s="29" t="n"/>
      <c r="E250" s="28" t="n"/>
      <c r="F250" s="28" t="n"/>
    </row>
    <row r="251">
      <c r="A251" s="27" t="n"/>
      <c r="B251" s="28" t="n"/>
      <c r="C251" s="28" t="n"/>
      <c r="D251" s="29" t="n"/>
      <c r="E251" s="28" t="n"/>
      <c r="F251" s="28" t="n"/>
    </row>
    <row r="252">
      <c r="A252" s="27" t="n"/>
      <c r="B252" s="28" t="n"/>
      <c r="C252" s="28" t="n"/>
      <c r="D252" s="29" t="n"/>
      <c r="E252" s="28" t="n"/>
      <c r="F252" s="28" t="n"/>
    </row>
    <row r="253">
      <c r="A253" s="27" t="n"/>
      <c r="B253" s="28" t="n"/>
      <c r="C253" s="28" t="n"/>
      <c r="D253" s="29" t="n"/>
      <c r="E253" s="28" t="n"/>
      <c r="F253" s="28" t="n"/>
    </row>
    <row r="254">
      <c r="A254" s="27" t="n"/>
      <c r="B254" s="28" t="n"/>
      <c r="C254" s="28" t="n"/>
      <c r="D254" s="29" t="n"/>
      <c r="E254" s="28" t="n"/>
      <c r="F254" s="28" t="n"/>
    </row>
    <row r="255">
      <c r="A255" s="27" t="n"/>
      <c r="B255" s="28" t="n"/>
      <c r="C255" s="28" t="n"/>
      <c r="D255" s="29" t="n"/>
      <c r="E255" s="28" t="n"/>
      <c r="F255" s="28" t="n"/>
    </row>
    <row r="256">
      <c r="A256" s="27" t="n"/>
      <c r="B256" s="28" t="n"/>
      <c r="C256" s="28" t="n"/>
      <c r="D256" s="29" t="n"/>
      <c r="E256" s="28" t="n"/>
      <c r="F256" s="28" t="n"/>
    </row>
    <row r="257">
      <c r="A257" s="27" t="n"/>
      <c r="B257" s="28" t="n"/>
      <c r="C257" s="28" t="n"/>
      <c r="D257" s="29" t="n"/>
      <c r="E257" s="28" t="n"/>
      <c r="F257" s="28" t="n"/>
    </row>
    <row r="258">
      <c r="A258" s="27" t="n"/>
      <c r="B258" s="28" t="n"/>
      <c r="C258" s="28" t="n"/>
      <c r="D258" s="29" t="n"/>
      <c r="E258" s="28" t="n"/>
      <c r="F258" s="28" t="n"/>
    </row>
    <row r="259">
      <c r="A259" s="27" t="n"/>
      <c r="B259" s="28" t="n"/>
      <c r="C259" s="28" t="n"/>
      <c r="D259" s="29" t="n"/>
      <c r="E259" s="28" t="n"/>
      <c r="F259" s="28" t="n"/>
    </row>
    <row r="260">
      <c r="A260" s="27" t="n"/>
      <c r="B260" s="28" t="n"/>
      <c r="C260" s="28" t="n"/>
      <c r="D260" s="29" t="n"/>
      <c r="E260" s="28" t="n"/>
      <c r="F260" s="28" t="n"/>
    </row>
    <row r="261">
      <c r="A261" s="27" t="n"/>
      <c r="B261" s="28" t="n"/>
      <c r="C261" s="28" t="n"/>
      <c r="D261" s="29" t="n"/>
      <c r="E261" s="28" t="n"/>
      <c r="F261" s="28" t="n"/>
    </row>
    <row r="262">
      <c r="A262" s="27" t="n"/>
      <c r="B262" s="28" t="n"/>
      <c r="C262" s="28" t="n"/>
      <c r="D262" s="29" t="n"/>
      <c r="E262" s="28" t="n"/>
      <c r="F262" s="28" t="n"/>
    </row>
    <row r="263">
      <c r="A263" s="27" t="n"/>
      <c r="B263" s="28" t="n"/>
      <c r="C263" s="28" t="n"/>
      <c r="D263" s="29" t="n"/>
      <c r="E263" s="28" t="n"/>
      <c r="F263" s="28" t="n"/>
    </row>
    <row r="264">
      <c r="A264" s="27" t="n"/>
      <c r="B264" s="28" t="n"/>
      <c r="C264" s="28" t="n"/>
      <c r="D264" s="29" t="n"/>
      <c r="E264" s="28" t="n"/>
      <c r="F264" s="28" t="n"/>
    </row>
    <row r="265">
      <c r="A265" s="27" t="n"/>
      <c r="B265" s="28" t="n"/>
      <c r="C265" s="28" t="n"/>
      <c r="D265" s="29" t="n"/>
      <c r="E265" s="28" t="n"/>
      <c r="F265" s="28" t="n"/>
    </row>
    <row r="266">
      <c r="A266" s="27" t="n"/>
      <c r="B266" s="28" t="n"/>
      <c r="C266" s="28" t="n"/>
      <c r="D266" s="29" t="n"/>
      <c r="E266" s="28" t="n"/>
      <c r="F266" s="28" t="n"/>
    </row>
    <row r="267">
      <c r="A267" s="27" t="n"/>
      <c r="B267" s="28" t="n"/>
      <c r="C267" s="28" t="n"/>
      <c r="D267" s="29" t="n"/>
      <c r="E267" s="28" t="n"/>
      <c r="F267" s="28" t="n"/>
    </row>
    <row r="268">
      <c r="A268" s="27" t="n"/>
      <c r="B268" s="28" t="n"/>
      <c r="C268" s="28" t="n"/>
      <c r="D268" s="29" t="n"/>
      <c r="E268" s="28" t="n"/>
      <c r="F268" s="28" t="n"/>
    </row>
    <row r="269">
      <c r="A269" s="27" t="n"/>
      <c r="B269" s="28" t="n"/>
      <c r="C269" s="28" t="n"/>
      <c r="D269" s="29" t="n"/>
      <c r="E269" s="28" t="n"/>
      <c r="F269" s="28" t="n"/>
    </row>
    <row r="270">
      <c r="A270" s="27" t="n"/>
      <c r="B270" s="28" t="n"/>
      <c r="C270" s="28" t="n"/>
      <c r="D270" s="29" t="n"/>
      <c r="E270" s="28" t="n"/>
      <c r="F270" s="28" t="n"/>
    </row>
    <row r="271">
      <c r="A271" s="27" t="n"/>
      <c r="B271" s="28" t="n"/>
      <c r="C271" s="28" t="n"/>
      <c r="D271" s="29" t="n"/>
      <c r="E271" s="28" t="n"/>
      <c r="F271" s="28" t="n"/>
    </row>
    <row r="272">
      <c r="A272" s="27" t="n"/>
      <c r="B272" s="28" t="n"/>
      <c r="C272" s="28" t="n"/>
      <c r="D272" s="29" t="n"/>
      <c r="E272" s="28" t="n"/>
      <c r="F272" s="28" t="n"/>
    </row>
    <row r="273">
      <c r="A273" s="27" t="n"/>
      <c r="B273" s="28" t="n"/>
      <c r="C273" s="28" t="n"/>
      <c r="D273" s="29" t="n"/>
      <c r="E273" s="28" t="n"/>
      <c r="F273" s="28" t="n"/>
    </row>
    <row r="274">
      <c r="A274" s="27" t="n"/>
      <c r="B274" s="28" t="n"/>
      <c r="C274" s="28" t="n"/>
      <c r="D274" s="29" t="n"/>
      <c r="E274" s="28" t="n"/>
      <c r="F274" s="28" t="n"/>
    </row>
    <row r="275">
      <c r="A275" s="27" t="n"/>
      <c r="B275" s="28" t="n"/>
      <c r="C275" s="28" t="n"/>
      <c r="D275" s="29" t="n"/>
      <c r="E275" s="28" t="n"/>
      <c r="F275" s="28" t="n"/>
    </row>
    <row r="276">
      <c r="A276" s="27" t="n"/>
      <c r="B276" s="28" t="n"/>
      <c r="C276" s="28" t="n"/>
      <c r="D276" s="29" t="n"/>
      <c r="E276" s="28" t="n"/>
      <c r="F276" s="28" t="n"/>
    </row>
    <row r="277">
      <c r="A277" s="27" t="n"/>
      <c r="B277" s="28" t="n"/>
      <c r="C277" s="28" t="n"/>
      <c r="D277" s="29" t="n"/>
      <c r="E277" s="28" t="n"/>
      <c r="F277" s="28" t="n"/>
    </row>
    <row r="278">
      <c r="A278" s="27" t="n"/>
      <c r="B278" s="28" t="n"/>
      <c r="C278" s="28" t="n"/>
      <c r="D278" s="29" t="n"/>
      <c r="E278" s="28" t="n"/>
      <c r="F278" s="28" t="n"/>
    </row>
    <row r="279">
      <c r="A279" s="27" t="n"/>
      <c r="B279" s="28" t="n"/>
      <c r="C279" s="28" t="n"/>
      <c r="D279" s="29" t="n"/>
      <c r="E279" s="28" t="n"/>
      <c r="F279" s="28" t="n"/>
    </row>
    <row r="280">
      <c r="A280" s="27" t="n"/>
      <c r="B280" s="28" t="n"/>
      <c r="C280" s="28" t="n"/>
      <c r="D280" s="29" t="n"/>
      <c r="E280" s="28" t="n"/>
      <c r="F280" s="28" t="n"/>
    </row>
    <row r="281">
      <c r="A281" s="27" t="n"/>
      <c r="B281" s="28" t="n"/>
      <c r="C281" s="28" t="n"/>
      <c r="D281" s="29" t="n"/>
      <c r="E281" s="28" t="n"/>
      <c r="F281" s="28" t="n"/>
    </row>
    <row r="282">
      <c r="A282" s="27" t="n"/>
      <c r="B282" s="28" t="n"/>
      <c r="C282" s="28" t="n"/>
      <c r="D282" s="29" t="n"/>
      <c r="E282" s="28" t="n"/>
      <c r="F282" s="28" t="n"/>
    </row>
    <row r="283">
      <c r="A283" s="27" t="n"/>
      <c r="B283" s="28" t="n"/>
      <c r="C283" s="28" t="n"/>
      <c r="D283" s="29" t="n"/>
      <c r="E283" s="28" t="n"/>
      <c r="F283" s="28" t="n"/>
    </row>
    <row r="284">
      <c r="A284" s="27" t="n"/>
      <c r="B284" s="28" t="n"/>
      <c r="C284" s="28" t="n"/>
      <c r="D284" s="29" t="n"/>
      <c r="E284" s="28" t="n"/>
      <c r="F284" s="28" t="n"/>
    </row>
    <row r="285">
      <c r="A285" s="27" t="n"/>
      <c r="B285" s="28" t="n"/>
      <c r="C285" s="28" t="n"/>
      <c r="D285" s="29" t="n"/>
      <c r="E285" s="28" t="n"/>
      <c r="F285" s="28" t="n"/>
    </row>
    <row r="286">
      <c r="A286" s="27" t="n"/>
      <c r="B286" s="28" t="n"/>
      <c r="C286" s="28" t="n"/>
      <c r="D286" s="29" t="n"/>
      <c r="E286" s="28" t="n"/>
      <c r="F286" s="28" t="n"/>
    </row>
    <row r="287">
      <c r="A287" s="27" t="n"/>
      <c r="B287" s="28" t="n"/>
      <c r="C287" s="28" t="n"/>
      <c r="D287" s="29" t="n"/>
      <c r="E287" s="28" t="n"/>
      <c r="F287" s="28" t="n"/>
    </row>
    <row r="288">
      <c r="A288" s="27" t="n"/>
      <c r="B288" s="28" t="n"/>
      <c r="C288" s="28" t="n"/>
      <c r="D288" s="29" t="n"/>
      <c r="E288" s="28" t="n"/>
      <c r="F288" s="28" t="n"/>
    </row>
    <row r="289">
      <c r="A289" s="27" t="n"/>
      <c r="B289" s="28" t="n"/>
      <c r="C289" s="28" t="n"/>
      <c r="D289" s="29" t="n"/>
      <c r="E289" s="28" t="n"/>
      <c r="F289" s="28" t="n"/>
    </row>
    <row r="290">
      <c r="A290" s="27" t="n"/>
      <c r="B290" s="28" t="n"/>
      <c r="C290" s="28" t="n"/>
      <c r="D290" s="29" t="n"/>
      <c r="E290" s="28" t="n"/>
      <c r="F290" s="28" t="n"/>
    </row>
    <row r="291">
      <c r="A291" s="27" t="n"/>
      <c r="B291" s="28" t="n"/>
      <c r="C291" s="28" t="n"/>
      <c r="D291" s="29" t="n"/>
      <c r="E291" s="28" t="n"/>
      <c r="F291" s="28" t="n"/>
    </row>
    <row r="292">
      <c r="A292" s="27" t="n"/>
      <c r="B292" s="28" t="n"/>
      <c r="C292" s="28" t="n"/>
      <c r="D292" s="29" t="n"/>
      <c r="E292" s="28" t="n"/>
      <c r="F292" s="28" t="n"/>
    </row>
    <row r="293">
      <c r="A293" s="27" t="n"/>
      <c r="B293" s="28" t="n"/>
      <c r="C293" s="28" t="n"/>
      <c r="D293" s="29" t="n"/>
      <c r="E293" s="28" t="n"/>
      <c r="F293" s="28" t="n"/>
    </row>
    <row r="294">
      <c r="A294" s="27" t="n"/>
      <c r="B294" s="28" t="n"/>
      <c r="C294" s="28" t="n"/>
      <c r="D294" s="29" t="n"/>
      <c r="E294" s="28" t="n"/>
      <c r="F294" s="28" t="n"/>
    </row>
    <row r="295">
      <c r="A295" s="27" t="n"/>
      <c r="B295" s="28" t="n"/>
      <c r="C295" s="28" t="n"/>
      <c r="D295" s="29" t="n"/>
      <c r="E295" s="28" t="n"/>
      <c r="F295" s="28" t="n"/>
    </row>
    <row r="296">
      <c r="A296" s="27" t="n"/>
      <c r="B296" s="28" t="n"/>
      <c r="C296" s="28" t="n"/>
      <c r="D296" s="29" t="n"/>
      <c r="E296" s="28" t="n"/>
      <c r="F296" s="28" t="n"/>
    </row>
    <row r="297">
      <c r="A297" s="27" t="n"/>
      <c r="B297" s="28" t="n"/>
      <c r="C297" s="28" t="n"/>
      <c r="D297" s="29" t="n"/>
      <c r="E297" s="28" t="n"/>
      <c r="F297" s="28" t="n"/>
    </row>
    <row r="298">
      <c r="A298" s="27" t="n"/>
      <c r="B298" s="28" t="n"/>
      <c r="C298" s="28" t="n"/>
      <c r="D298" s="29" t="n"/>
      <c r="E298" s="28" t="n"/>
      <c r="F298" s="28" t="n"/>
    </row>
    <row r="299">
      <c r="A299" s="27" t="n"/>
      <c r="B299" s="28" t="n"/>
      <c r="C299" s="28" t="n"/>
      <c r="D299" s="29" t="n"/>
      <c r="E299" s="28" t="n"/>
      <c r="F299" s="28" t="n"/>
    </row>
    <row r="300">
      <c r="A300" s="27" t="n"/>
      <c r="B300" s="28" t="n"/>
      <c r="C300" s="28" t="n"/>
      <c r="D300" s="29" t="n"/>
      <c r="E300" s="28" t="n"/>
      <c r="F300" s="28" t="n"/>
    </row>
    <row r="301">
      <c r="A301" s="27" t="n"/>
      <c r="B301" s="28" t="n"/>
      <c r="C301" s="28" t="n"/>
      <c r="D301" s="29" t="n"/>
      <c r="E301" s="28" t="n"/>
      <c r="F301" s="28" t="n"/>
    </row>
    <row r="302">
      <c r="A302" s="27" t="n"/>
      <c r="B302" s="28" t="n"/>
      <c r="C302" s="28" t="n"/>
      <c r="D302" s="29" t="n"/>
      <c r="E302" s="28" t="n"/>
      <c r="F302" s="28" t="n"/>
    </row>
    <row r="303">
      <c r="A303" s="27" t="n"/>
      <c r="B303" s="28" t="n"/>
      <c r="C303" s="28" t="n"/>
      <c r="D303" s="29" t="n"/>
      <c r="E303" s="28" t="n"/>
      <c r="F303" s="28" t="n"/>
    </row>
    <row r="304">
      <c r="A304" s="27" t="n"/>
      <c r="B304" s="28" t="n"/>
      <c r="C304" s="28" t="n"/>
      <c r="D304" s="29" t="n"/>
      <c r="E304" s="28" t="n"/>
      <c r="F304" s="28" t="n"/>
    </row>
    <row r="305">
      <c r="A305" s="27" t="n"/>
      <c r="B305" s="28" t="n"/>
      <c r="C305" s="28" t="n"/>
      <c r="D305" s="29" t="n"/>
      <c r="E305" s="28" t="n"/>
      <c r="F305" s="28" t="n"/>
    </row>
    <row r="306">
      <c r="A306" s="27" t="n"/>
      <c r="B306" s="28" t="n"/>
      <c r="C306" s="28" t="n"/>
      <c r="D306" s="29" t="n"/>
      <c r="E306" s="28" t="n"/>
      <c r="F306" s="28" t="n"/>
    </row>
    <row r="307">
      <c r="A307" s="27" t="n"/>
      <c r="B307" s="28" t="n"/>
      <c r="C307" s="28" t="n"/>
      <c r="D307" s="29" t="n"/>
      <c r="E307" s="28" t="n"/>
      <c r="F307" s="28" t="n"/>
    </row>
    <row r="308">
      <c r="A308" s="27" t="n"/>
      <c r="B308" s="28" t="n"/>
      <c r="C308" s="28" t="n"/>
      <c r="D308" s="29" t="n"/>
      <c r="E308" s="28" t="n"/>
      <c r="F308" s="28" t="n"/>
    </row>
    <row r="309">
      <c r="A309" s="27" t="n"/>
      <c r="B309" s="28" t="n"/>
      <c r="C309" s="28" t="n"/>
      <c r="D309" s="29" t="n"/>
      <c r="E309" s="28" t="n"/>
      <c r="F309" s="28" t="n"/>
    </row>
    <row r="310">
      <c r="A310" s="27" t="n"/>
      <c r="B310" s="28" t="n"/>
      <c r="C310" s="28" t="n"/>
      <c r="D310" s="29" t="n"/>
      <c r="E310" s="28" t="n"/>
      <c r="F310" s="28" t="n"/>
    </row>
    <row r="311">
      <c r="A311" s="27" t="n"/>
      <c r="B311" s="28" t="n"/>
      <c r="C311" s="28" t="n"/>
      <c r="D311" s="29" t="n"/>
      <c r="E311" s="28" t="n"/>
      <c r="F311" s="28" t="n"/>
    </row>
    <row r="312">
      <c r="A312" s="27" t="n"/>
      <c r="B312" s="28" t="n"/>
      <c r="C312" s="28" t="n"/>
      <c r="D312" s="29" t="n"/>
      <c r="E312" s="28" t="n"/>
      <c r="F312" s="28" t="n"/>
    </row>
    <row r="313">
      <c r="A313" s="27" t="n"/>
      <c r="B313" s="28" t="n"/>
      <c r="C313" s="28" t="n"/>
      <c r="D313" s="29" t="n"/>
      <c r="E313" s="28" t="n"/>
      <c r="F313" s="28" t="n"/>
    </row>
    <row r="314">
      <c r="A314" s="27" t="n"/>
      <c r="B314" s="28" t="n"/>
      <c r="C314" s="28" t="n"/>
      <c r="D314" s="29" t="n"/>
      <c r="E314" s="28" t="n"/>
      <c r="F314" s="28" t="n"/>
    </row>
    <row r="315">
      <c r="A315" s="27" t="n"/>
      <c r="B315" s="28" t="n"/>
      <c r="C315" s="28" t="n"/>
      <c r="D315" s="29" t="n"/>
      <c r="E315" s="28" t="n"/>
      <c r="F315" s="28" t="n"/>
    </row>
    <row r="316">
      <c r="A316" s="27" t="n"/>
      <c r="B316" s="28" t="n"/>
      <c r="C316" s="28" t="n"/>
      <c r="D316" s="29" t="n"/>
      <c r="E316" s="28" t="n"/>
      <c r="F316" s="28" t="n"/>
    </row>
    <row r="317">
      <c r="A317" s="27" t="n"/>
      <c r="B317" s="28" t="n"/>
      <c r="C317" s="28" t="n"/>
      <c r="D317" s="29" t="n"/>
      <c r="E317" s="28" t="n"/>
      <c r="F317" s="28" t="n"/>
    </row>
    <row r="318">
      <c r="A318" s="27" t="n"/>
      <c r="B318" s="28" t="n"/>
      <c r="C318" s="28" t="n"/>
      <c r="D318" s="29" t="n"/>
      <c r="E318" s="28" t="n"/>
      <c r="F318" s="28" t="n"/>
    </row>
    <row r="319">
      <c r="A319" s="27" t="n"/>
      <c r="B319" s="28" t="n"/>
      <c r="C319" s="28" t="n"/>
      <c r="D319" s="29" t="n"/>
      <c r="E319" s="28" t="n"/>
      <c r="F319" s="28" t="n"/>
    </row>
    <row r="320">
      <c r="A320" s="27" t="n"/>
      <c r="B320" s="28" t="n"/>
      <c r="C320" s="28" t="n"/>
      <c r="D320" s="29" t="n"/>
      <c r="E320" s="28" t="n"/>
      <c r="F320" s="28" t="n"/>
    </row>
    <row r="321">
      <c r="A321" s="27" t="n"/>
      <c r="B321" s="28" t="n"/>
      <c r="C321" s="28" t="n"/>
      <c r="D321" s="29" t="n"/>
      <c r="E321" s="28" t="n"/>
      <c r="F321" s="28" t="n"/>
    </row>
    <row r="322">
      <c r="A322" s="27" t="n"/>
      <c r="B322" s="28" t="n"/>
      <c r="C322" s="28" t="n"/>
      <c r="D322" s="29" t="n"/>
      <c r="E322" s="28" t="n"/>
      <c r="F322" s="28" t="n"/>
    </row>
    <row r="323">
      <c r="A323" s="27" t="n"/>
      <c r="B323" s="28" t="n"/>
      <c r="C323" s="28" t="n"/>
      <c r="D323" s="29" t="n"/>
      <c r="E323" s="28" t="n"/>
      <c r="F323" s="28" t="n"/>
    </row>
    <row r="324">
      <c r="A324" s="27" t="n"/>
      <c r="B324" s="28" t="n"/>
      <c r="C324" s="28" t="n"/>
      <c r="D324" s="29" t="n"/>
      <c r="E324" s="28" t="n"/>
      <c r="F324" s="28" t="n"/>
    </row>
    <row r="325">
      <c r="A325" s="27" t="n"/>
      <c r="B325" s="28" t="n"/>
      <c r="C325" s="28" t="n"/>
      <c r="D325" s="29" t="n"/>
      <c r="E325" s="28" t="n"/>
      <c r="F325" s="28" t="n"/>
    </row>
    <row r="326">
      <c r="A326" s="27" t="n"/>
      <c r="B326" s="28" t="n"/>
      <c r="C326" s="28" t="n"/>
      <c r="D326" s="29" t="n"/>
      <c r="E326" s="28" t="n"/>
      <c r="F326" s="28" t="n"/>
    </row>
    <row r="327">
      <c r="A327" s="27" t="n"/>
      <c r="B327" s="28" t="n"/>
      <c r="C327" s="28" t="n"/>
      <c r="D327" s="29" t="n"/>
      <c r="E327" s="28" t="n"/>
      <c r="F327" s="28" t="n"/>
    </row>
    <row r="328">
      <c r="A328" s="27" t="n"/>
      <c r="B328" s="28" t="n"/>
      <c r="C328" s="28" t="n"/>
      <c r="D328" s="29" t="n"/>
      <c r="E328" s="28" t="n"/>
      <c r="F328" s="28" t="n"/>
    </row>
    <row r="329">
      <c r="A329" s="27" t="n"/>
      <c r="B329" s="28" t="n"/>
      <c r="C329" s="28" t="n"/>
      <c r="D329" s="29" t="n"/>
      <c r="E329" s="28" t="n"/>
      <c r="F329" s="28" t="n"/>
    </row>
    <row r="330">
      <c r="A330" s="27" t="n"/>
      <c r="B330" s="28" t="n"/>
      <c r="C330" s="28" t="n"/>
      <c r="D330" s="29" t="n"/>
      <c r="E330" s="28" t="n"/>
      <c r="F330" s="28" t="n"/>
    </row>
    <row r="331">
      <c r="A331" s="27" t="n"/>
      <c r="B331" s="28" t="n"/>
      <c r="C331" s="28" t="n"/>
      <c r="D331" s="29" t="n"/>
      <c r="E331" s="28" t="n"/>
      <c r="F331" s="28" t="n"/>
    </row>
    <row r="332">
      <c r="A332" s="27" t="n"/>
      <c r="B332" s="28" t="n"/>
      <c r="C332" s="28" t="n"/>
      <c r="D332" s="29" t="n"/>
      <c r="E332" s="28" t="n"/>
      <c r="F332" s="28" t="n"/>
    </row>
    <row r="333">
      <c r="A333" s="27" t="n"/>
      <c r="B333" s="28" t="n"/>
      <c r="C333" s="28" t="n"/>
      <c r="D333" s="29" t="n"/>
      <c r="E333" s="28" t="n"/>
      <c r="F333" s="28" t="n"/>
    </row>
    <row r="334">
      <c r="A334" s="27" t="n"/>
      <c r="B334" s="28" t="n"/>
      <c r="C334" s="28" t="n"/>
      <c r="D334" s="29" t="n"/>
      <c r="E334" s="28" t="n"/>
      <c r="F334" s="28" t="n"/>
    </row>
    <row r="335">
      <c r="A335" s="27" t="n"/>
      <c r="B335" s="28" t="n"/>
      <c r="C335" s="28" t="n"/>
      <c r="D335" s="29" t="n"/>
      <c r="E335" s="28" t="n"/>
      <c r="F335" s="28" t="n"/>
    </row>
    <row r="336">
      <c r="A336" s="27" t="n"/>
      <c r="B336" s="28" t="n"/>
      <c r="C336" s="28" t="n"/>
      <c r="D336" s="29" t="n"/>
      <c r="E336" s="28" t="n"/>
      <c r="F336" s="28" t="n"/>
    </row>
    <row r="337">
      <c r="A337" s="27" t="n"/>
      <c r="B337" s="28" t="n"/>
      <c r="C337" s="28" t="n"/>
      <c r="D337" s="29" t="n"/>
      <c r="E337" s="28" t="n"/>
      <c r="F337" s="28" t="n"/>
    </row>
    <row r="338">
      <c r="A338" s="27" t="n"/>
      <c r="B338" s="28" t="n"/>
      <c r="C338" s="28" t="n"/>
      <c r="D338" s="29" t="n"/>
      <c r="E338" s="28" t="n"/>
      <c r="F338" s="28" t="n"/>
    </row>
    <row r="339">
      <c r="A339" s="27" t="n"/>
      <c r="B339" s="28" t="n"/>
      <c r="C339" s="28" t="n"/>
      <c r="D339" s="29" t="n"/>
      <c r="E339" s="28" t="n"/>
      <c r="F339" s="28" t="n"/>
    </row>
    <row r="340">
      <c r="A340" s="27" t="n"/>
      <c r="B340" s="28" t="n"/>
      <c r="C340" s="28" t="n"/>
      <c r="D340" s="29" t="n"/>
      <c r="E340" s="28" t="n"/>
      <c r="F340" s="28" t="n"/>
    </row>
    <row r="341">
      <c r="A341" s="27" t="n"/>
      <c r="B341" s="28" t="n"/>
      <c r="C341" s="28" t="n"/>
      <c r="D341" s="29" t="n"/>
      <c r="E341" s="28" t="n"/>
      <c r="F341" s="28" t="n"/>
    </row>
    <row r="342">
      <c r="A342" s="27" t="n"/>
      <c r="B342" s="28" t="n"/>
      <c r="C342" s="28" t="n"/>
      <c r="D342" s="29" t="n"/>
      <c r="E342" s="28" t="n"/>
      <c r="F342" s="28" t="n"/>
    </row>
    <row r="343">
      <c r="A343" s="27" t="n"/>
      <c r="B343" s="28" t="n"/>
      <c r="C343" s="28" t="n"/>
      <c r="D343" s="29" t="n"/>
      <c r="E343" s="28" t="n"/>
      <c r="F343" s="28" t="n"/>
    </row>
    <row r="344">
      <c r="A344" s="27" t="n"/>
      <c r="B344" s="28" t="n"/>
      <c r="C344" s="28" t="n"/>
      <c r="D344" s="29" t="n"/>
      <c r="E344" s="28" t="n"/>
      <c r="F344" s="28" t="n"/>
    </row>
    <row r="345">
      <c r="A345" s="27" t="n"/>
      <c r="B345" s="28" t="n"/>
      <c r="C345" s="28" t="n"/>
      <c r="D345" s="29" t="n"/>
      <c r="E345" s="28" t="n"/>
      <c r="F345" s="28" t="n"/>
    </row>
    <row r="346">
      <c r="A346" s="27" t="n"/>
      <c r="B346" s="28" t="n"/>
      <c r="C346" s="28" t="n"/>
      <c r="D346" s="29" t="n"/>
      <c r="E346" s="28" t="n"/>
      <c r="F346" s="28" t="n"/>
    </row>
    <row r="347">
      <c r="A347" s="27" t="n"/>
      <c r="B347" s="28" t="n"/>
      <c r="C347" s="28" t="n"/>
      <c r="D347" s="29" t="n"/>
      <c r="E347" s="28" t="n"/>
      <c r="F347" s="28" t="n"/>
    </row>
    <row r="348">
      <c r="A348" s="27" t="n"/>
      <c r="B348" s="28" t="n"/>
      <c r="C348" s="28" t="n"/>
      <c r="D348" s="29" t="n"/>
      <c r="E348" s="28" t="n"/>
      <c r="F348" s="28" t="n"/>
    </row>
    <row r="349">
      <c r="A349" s="27" t="n"/>
      <c r="B349" s="28" t="n"/>
      <c r="C349" s="28" t="n"/>
      <c r="D349" s="29" t="n"/>
      <c r="E349" s="28" t="n"/>
      <c r="F349" s="28" t="n"/>
    </row>
    <row r="350">
      <c r="A350" s="27" t="n"/>
      <c r="B350" s="28" t="n"/>
      <c r="C350" s="28" t="n"/>
      <c r="D350" s="29" t="n"/>
      <c r="E350" s="28" t="n"/>
      <c r="F350" s="28" t="n"/>
    </row>
    <row r="351">
      <c r="A351" s="27" t="n"/>
      <c r="B351" s="28" t="n"/>
      <c r="C351" s="28" t="n"/>
      <c r="D351" s="29" t="n"/>
      <c r="E351" s="28" t="n"/>
      <c r="F351" s="28" t="n"/>
    </row>
    <row r="352">
      <c r="A352" s="27" t="n"/>
      <c r="B352" s="28" t="n"/>
      <c r="C352" s="28" t="n"/>
      <c r="D352" s="29" t="n"/>
      <c r="E352" s="28" t="n"/>
      <c r="F352" s="28" t="n"/>
    </row>
    <row r="353">
      <c r="A353" s="27" t="n"/>
      <c r="B353" s="28" t="n"/>
      <c r="C353" s="28" t="n"/>
      <c r="D353" s="29" t="n"/>
      <c r="E353" s="28" t="n"/>
      <c r="F353" s="28" t="n"/>
    </row>
    <row r="354">
      <c r="A354" s="27" t="n"/>
      <c r="B354" s="28" t="n"/>
      <c r="C354" s="28" t="n"/>
      <c r="D354" s="29" t="n"/>
      <c r="E354" s="28" t="n"/>
      <c r="F354" s="28" t="n"/>
    </row>
    <row r="355">
      <c r="A355" s="27" t="n"/>
      <c r="B355" s="28" t="n"/>
      <c r="C355" s="28" t="n"/>
      <c r="D355" s="29" t="n"/>
      <c r="E355" s="28" t="n"/>
      <c r="F355" s="28" t="n"/>
    </row>
    <row r="356">
      <c r="A356" s="27" t="n"/>
      <c r="B356" s="28" t="n"/>
      <c r="C356" s="28" t="n"/>
      <c r="D356" s="29" t="n"/>
      <c r="E356" s="28" t="n"/>
      <c r="F356" s="28" t="n"/>
    </row>
    <row r="357">
      <c r="A357" s="27" t="n"/>
      <c r="B357" s="28" t="n"/>
      <c r="C357" s="28" t="n"/>
      <c r="D357" s="29" t="n"/>
      <c r="E357" s="28" t="n"/>
      <c r="F357" s="28" t="n"/>
    </row>
    <row r="358">
      <c r="A358" s="27" t="n"/>
      <c r="B358" s="28" t="n"/>
      <c r="C358" s="28" t="n"/>
      <c r="D358" s="29" t="n"/>
      <c r="E358" s="28" t="n"/>
      <c r="F358" s="28" t="n"/>
    </row>
    <row r="359">
      <c r="A359" s="27" t="n"/>
      <c r="B359" s="28" t="n"/>
      <c r="C359" s="28" t="n"/>
      <c r="D359" s="29" t="n"/>
      <c r="E359" s="28" t="n"/>
      <c r="F359" s="28" t="n"/>
    </row>
    <row r="360">
      <c r="A360" s="27" t="n"/>
      <c r="B360" s="28" t="n"/>
      <c r="C360" s="28" t="n"/>
      <c r="D360" s="29" t="n"/>
      <c r="E360" s="28" t="n"/>
      <c r="F360" s="28" t="n"/>
    </row>
    <row r="361">
      <c r="A361" s="27" t="n"/>
      <c r="B361" s="28" t="n"/>
      <c r="C361" s="28" t="n"/>
      <c r="D361" s="29" t="n"/>
      <c r="E361" s="28" t="n"/>
      <c r="F361" s="28" t="n"/>
    </row>
    <row r="362">
      <c r="A362" s="27" t="n"/>
      <c r="B362" s="28" t="n"/>
      <c r="C362" s="28" t="n"/>
      <c r="D362" s="29" t="n"/>
      <c r="E362" s="28" t="n"/>
      <c r="F362" s="28" t="n"/>
    </row>
    <row r="363">
      <c r="A363" s="27" t="n"/>
      <c r="B363" s="28" t="n"/>
      <c r="C363" s="28" t="n"/>
      <c r="D363" s="29" t="n"/>
      <c r="E363" s="28" t="n"/>
      <c r="F363" s="28" t="n"/>
    </row>
    <row r="364">
      <c r="A364" s="27" t="n"/>
      <c r="B364" s="28" t="n"/>
      <c r="C364" s="28" t="n"/>
      <c r="D364" s="29" t="n"/>
      <c r="E364" s="28" t="n"/>
      <c r="F364" s="28" t="n"/>
    </row>
    <row r="365">
      <c r="A365" s="27" t="n"/>
      <c r="B365" s="28" t="n"/>
      <c r="C365" s="28" t="n"/>
      <c r="D365" s="29" t="n"/>
      <c r="E365" s="28" t="n"/>
      <c r="F365" s="28" t="n"/>
    </row>
    <row r="366">
      <c r="A366" s="27" t="n"/>
      <c r="B366" s="28" t="n"/>
      <c r="C366" s="28" t="n"/>
      <c r="D366" s="29" t="n"/>
      <c r="E366" s="28" t="n"/>
      <c r="F366" s="28" t="n"/>
    </row>
    <row r="367">
      <c r="A367" s="27" t="n"/>
      <c r="B367" s="28" t="n"/>
      <c r="C367" s="28" t="n"/>
      <c r="D367" s="29" t="n"/>
      <c r="E367" s="28" t="n"/>
      <c r="F367" s="28" t="n"/>
    </row>
    <row r="368">
      <c r="A368" s="27" t="n"/>
      <c r="B368" s="28" t="n"/>
      <c r="C368" s="28" t="n"/>
      <c r="D368" s="29" t="n"/>
      <c r="E368" s="28" t="n"/>
      <c r="F368" s="28" t="n"/>
    </row>
    <row r="369">
      <c r="A369" s="27" t="n"/>
      <c r="B369" s="28" t="n"/>
      <c r="C369" s="28" t="n"/>
      <c r="D369" s="29" t="n"/>
      <c r="E369" s="28" t="n"/>
      <c r="F369" s="28" t="n"/>
    </row>
    <row r="370">
      <c r="A370" s="27" t="n"/>
      <c r="B370" s="28" t="n"/>
      <c r="C370" s="28" t="n"/>
      <c r="D370" s="29" t="n"/>
      <c r="E370" s="28" t="n"/>
      <c r="F370" s="28" t="n"/>
    </row>
    <row r="371">
      <c r="A371" s="27" t="n"/>
      <c r="B371" s="28" t="n"/>
      <c r="C371" s="28" t="n"/>
      <c r="D371" s="29" t="n"/>
      <c r="E371" s="28" t="n"/>
      <c r="F371" s="28" t="n"/>
    </row>
    <row r="372">
      <c r="A372" s="27" t="n"/>
      <c r="B372" s="28" t="n"/>
      <c r="C372" s="28" t="n"/>
      <c r="D372" s="29" t="n"/>
      <c r="E372" s="28" t="n"/>
      <c r="F372" s="28" t="n"/>
    </row>
    <row r="373">
      <c r="A373" s="27" t="n"/>
      <c r="B373" s="28" t="n"/>
      <c r="C373" s="28" t="n"/>
      <c r="D373" s="29" t="n"/>
      <c r="E373" s="28" t="n"/>
      <c r="F373" s="28" t="n"/>
    </row>
    <row r="374">
      <c r="A374" s="27" t="n"/>
      <c r="B374" s="28" t="n"/>
      <c r="C374" s="28" t="n"/>
      <c r="D374" s="29" t="n"/>
      <c r="E374" s="28" t="n"/>
      <c r="F374" s="28" t="n"/>
    </row>
    <row r="375">
      <c r="A375" s="27" t="n"/>
      <c r="B375" s="28" t="n"/>
      <c r="C375" s="28" t="n"/>
      <c r="D375" s="29" t="n"/>
      <c r="E375" s="28" t="n"/>
      <c r="F375" s="28" t="n"/>
    </row>
    <row r="376">
      <c r="A376" s="27" t="n"/>
      <c r="B376" s="28" t="n"/>
      <c r="C376" s="28" t="n"/>
      <c r="D376" s="29" t="n"/>
      <c r="E376" s="28" t="n"/>
      <c r="F376" s="28" t="n"/>
    </row>
    <row r="377">
      <c r="A377" s="27" t="n"/>
      <c r="B377" s="28" t="n"/>
      <c r="C377" s="28" t="n"/>
      <c r="D377" s="29" t="n"/>
      <c r="E377" s="28" t="n"/>
      <c r="F377" s="28" t="n"/>
    </row>
    <row r="378">
      <c r="A378" s="27" t="n"/>
      <c r="B378" s="28" t="n"/>
      <c r="C378" s="28" t="n"/>
      <c r="D378" s="29" t="n"/>
      <c r="E378" s="28" t="n"/>
      <c r="F378" s="28" t="n"/>
    </row>
    <row r="379">
      <c r="A379" s="27" t="n"/>
      <c r="B379" s="28" t="n"/>
      <c r="C379" s="28" t="n"/>
      <c r="D379" s="29" t="n"/>
      <c r="E379" s="28" t="n"/>
      <c r="F379" s="28" t="n"/>
    </row>
    <row r="380">
      <c r="A380" s="27" t="n"/>
      <c r="B380" s="28" t="n"/>
      <c r="C380" s="28" t="n"/>
      <c r="D380" s="29" t="n"/>
      <c r="E380" s="28" t="n"/>
      <c r="F380" s="28" t="n"/>
    </row>
    <row r="381">
      <c r="A381" s="27" t="n"/>
      <c r="B381" s="28" t="n"/>
      <c r="C381" s="28" t="n"/>
      <c r="D381" s="29" t="n"/>
      <c r="E381" s="28" t="n"/>
      <c r="F381" s="28" t="n"/>
    </row>
    <row r="382">
      <c r="A382" s="27" t="n"/>
      <c r="B382" s="28" t="n"/>
      <c r="C382" s="28" t="n"/>
      <c r="D382" s="29" t="n"/>
      <c r="E382" s="28" t="n"/>
      <c r="F382" s="28" t="n"/>
    </row>
    <row r="383">
      <c r="A383" s="27" t="n"/>
      <c r="B383" s="28" t="n"/>
      <c r="C383" s="28" t="n"/>
      <c r="D383" s="29" t="n"/>
      <c r="E383" s="28" t="n"/>
      <c r="F383" s="28" t="n"/>
    </row>
    <row r="384">
      <c r="A384" s="27" t="n"/>
      <c r="B384" s="28" t="n"/>
      <c r="C384" s="28" t="n"/>
      <c r="D384" s="29" t="n"/>
      <c r="E384" s="28" t="n"/>
      <c r="F384" s="28" t="n"/>
    </row>
    <row r="385">
      <c r="A385" s="27" t="n"/>
      <c r="B385" s="28" t="n"/>
      <c r="C385" s="28" t="n"/>
      <c r="D385" s="29" t="n"/>
      <c r="E385" s="28" t="n"/>
      <c r="F385" s="28" t="n"/>
    </row>
    <row r="386">
      <c r="A386" s="27" t="n"/>
      <c r="B386" s="28" t="n"/>
      <c r="C386" s="28" t="n"/>
      <c r="D386" s="29" t="n"/>
      <c r="E386" s="28" t="n"/>
      <c r="F386" s="28" t="n"/>
    </row>
    <row r="387">
      <c r="A387" s="27" t="n"/>
      <c r="B387" s="28" t="n"/>
      <c r="C387" s="28" t="n"/>
      <c r="D387" s="29" t="n"/>
      <c r="E387" s="28" t="n"/>
      <c r="F387" s="28" t="n"/>
    </row>
    <row r="388">
      <c r="A388" s="27" t="n"/>
      <c r="B388" s="28" t="n"/>
      <c r="C388" s="28" t="n"/>
      <c r="D388" s="29" t="n"/>
      <c r="E388" s="28" t="n"/>
      <c r="F388" s="28" t="n"/>
    </row>
    <row r="389">
      <c r="A389" s="27" t="n"/>
      <c r="B389" s="28" t="n"/>
      <c r="C389" s="28" t="n"/>
      <c r="D389" s="29" t="n"/>
      <c r="E389" s="28" t="n"/>
      <c r="F389" s="28" t="n"/>
    </row>
    <row r="390">
      <c r="A390" s="27" t="n"/>
      <c r="B390" s="28" t="n"/>
      <c r="C390" s="28" t="n"/>
      <c r="D390" s="29" t="n"/>
      <c r="E390" s="28" t="n"/>
      <c r="F390" s="28" t="n"/>
    </row>
    <row r="391">
      <c r="A391" s="27" t="n"/>
      <c r="B391" s="28" t="n"/>
      <c r="C391" s="28" t="n"/>
      <c r="D391" s="29" t="n"/>
      <c r="E391" s="28" t="n"/>
      <c r="F391" s="28" t="n"/>
    </row>
    <row r="392">
      <c r="A392" s="27" t="n"/>
      <c r="B392" s="28" t="n"/>
      <c r="C392" s="28" t="n"/>
      <c r="D392" s="29" t="n"/>
      <c r="E392" s="28" t="n"/>
      <c r="F392" s="28" t="n"/>
    </row>
    <row r="393">
      <c r="A393" s="27" t="n"/>
      <c r="B393" s="28" t="n"/>
      <c r="C393" s="28" t="n"/>
      <c r="D393" s="29" t="n"/>
      <c r="E393" s="28" t="n"/>
      <c r="F393" s="28" t="n"/>
    </row>
    <row r="394">
      <c r="A394" s="27" t="n"/>
      <c r="B394" s="28" t="n"/>
      <c r="C394" s="28" t="n"/>
      <c r="D394" s="29" t="n"/>
      <c r="E394" s="28" t="n"/>
      <c r="F394" s="28" t="n"/>
    </row>
    <row r="395">
      <c r="A395" s="27" t="n"/>
      <c r="B395" s="28" t="n"/>
      <c r="C395" s="28" t="n"/>
      <c r="D395" s="29" t="n"/>
      <c r="E395" s="28" t="n"/>
      <c r="F395" s="28" t="n"/>
    </row>
    <row r="396">
      <c r="A396" s="27" t="n"/>
      <c r="B396" s="28" t="n"/>
      <c r="C396" s="28" t="n"/>
      <c r="D396" s="29" t="n"/>
      <c r="E396" s="28" t="n"/>
      <c r="F396" s="28" t="n"/>
    </row>
    <row r="397">
      <c r="A397" s="27" t="n"/>
      <c r="B397" s="28" t="n"/>
      <c r="C397" s="28" t="n"/>
      <c r="D397" s="29" t="n"/>
      <c r="E397" s="28" t="n"/>
      <c r="F397" s="28" t="n"/>
    </row>
    <row r="398">
      <c r="A398" s="27" t="n"/>
      <c r="B398" s="28" t="n"/>
      <c r="C398" s="28" t="n"/>
      <c r="D398" s="29" t="n"/>
      <c r="E398" s="28" t="n"/>
      <c r="F398" s="28" t="n"/>
    </row>
    <row r="399">
      <c r="A399" s="27" t="n"/>
      <c r="B399" s="28" t="n"/>
      <c r="C399" s="28" t="n"/>
      <c r="D399" s="29" t="n"/>
      <c r="E399" s="28" t="n"/>
      <c r="F399" s="28" t="n"/>
    </row>
    <row r="400">
      <c r="A400" s="27" t="n"/>
      <c r="B400" s="28" t="n"/>
      <c r="C400" s="28" t="n"/>
      <c r="D400" s="29" t="n"/>
      <c r="E400" s="28" t="n"/>
      <c r="F400" s="28" t="n"/>
    </row>
    <row r="401">
      <c r="A401" s="27" t="n"/>
      <c r="B401" s="28" t="n"/>
      <c r="C401" s="28" t="n"/>
      <c r="D401" s="29" t="n"/>
      <c r="E401" s="28" t="n"/>
      <c r="F401" s="28" t="n"/>
    </row>
    <row r="402">
      <c r="A402" s="27" t="n"/>
      <c r="B402" s="28" t="n"/>
      <c r="C402" s="28" t="n"/>
      <c r="D402" s="29" t="n"/>
      <c r="E402" s="28" t="n"/>
      <c r="F402" s="28" t="n"/>
    </row>
    <row r="403">
      <c r="A403" s="27" t="n"/>
      <c r="B403" s="28" t="n"/>
      <c r="C403" s="28" t="n"/>
      <c r="D403" s="29" t="n"/>
      <c r="E403" s="28" t="n"/>
      <c r="F403" s="28" t="n"/>
    </row>
    <row r="404">
      <c r="A404" s="27" t="n"/>
      <c r="B404" s="28" t="n"/>
      <c r="C404" s="28" t="n"/>
      <c r="D404" s="29" t="n"/>
      <c r="E404" s="28" t="n"/>
      <c r="F404" s="28" t="n"/>
    </row>
    <row r="405">
      <c r="A405" s="27" t="n"/>
      <c r="B405" s="28" t="n"/>
      <c r="C405" s="28" t="n"/>
      <c r="D405" s="29" t="n"/>
      <c r="E405" s="28" t="n"/>
      <c r="F405" s="28" t="n"/>
    </row>
    <row r="406">
      <c r="A406" s="27" t="n"/>
      <c r="B406" s="28" t="n"/>
      <c r="C406" s="28" t="n"/>
      <c r="D406" s="29" t="n"/>
      <c r="E406" s="28" t="n"/>
      <c r="F406" s="28" t="n"/>
    </row>
    <row r="407">
      <c r="A407" s="27" t="n"/>
      <c r="B407" s="28" t="n"/>
      <c r="C407" s="28" t="n"/>
      <c r="D407" s="29" t="n"/>
      <c r="E407" s="28" t="n"/>
      <c r="F407" s="28" t="n"/>
    </row>
    <row r="408">
      <c r="A408" s="27" t="n"/>
      <c r="B408" s="28" t="n"/>
      <c r="C408" s="28" t="n"/>
      <c r="D408" s="29" t="n"/>
      <c r="E408" s="28" t="n"/>
      <c r="F408" s="28" t="n"/>
    </row>
    <row r="409">
      <c r="A409" s="27" t="n"/>
      <c r="B409" s="28" t="n"/>
      <c r="C409" s="28" t="n"/>
      <c r="D409" s="29" t="n"/>
      <c r="E409" s="28" t="n"/>
      <c r="F409" s="28" t="n"/>
    </row>
    <row r="410">
      <c r="A410" s="27" t="n"/>
      <c r="B410" s="28" t="n"/>
      <c r="C410" s="28" t="n"/>
      <c r="D410" s="29" t="n"/>
      <c r="E410" s="28" t="n"/>
      <c r="F410" s="28" t="n"/>
    </row>
    <row r="411">
      <c r="A411" s="27" t="n"/>
      <c r="B411" s="28" t="n"/>
      <c r="C411" s="28" t="n"/>
      <c r="D411" s="29" t="n"/>
      <c r="E411" s="28" t="n"/>
      <c r="F411" s="28" t="n"/>
    </row>
    <row r="412">
      <c r="A412" s="27" t="n"/>
      <c r="B412" s="28" t="n"/>
      <c r="C412" s="28" t="n"/>
      <c r="D412" s="29" t="n"/>
      <c r="E412" s="28" t="n"/>
      <c r="F412" s="28" t="n"/>
    </row>
    <row r="413">
      <c r="A413" s="27" t="n"/>
      <c r="B413" s="28" t="n"/>
      <c r="C413" s="28" t="n"/>
      <c r="D413" s="29" t="n"/>
      <c r="E413" s="28" t="n"/>
      <c r="F413" s="28" t="n"/>
    </row>
    <row r="414">
      <c r="A414" s="27" t="n"/>
      <c r="B414" s="28" t="n"/>
      <c r="C414" s="28" t="n"/>
      <c r="D414" s="29" t="n"/>
      <c r="E414" s="28" t="n"/>
      <c r="F414" s="28" t="n"/>
    </row>
    <row r="415">
      <c r="A415" s="27" t="n"/>
      <c r="B415" s="28" t="n"/>
      <c r="C415" s="28" t="n"/>
      <c r="D415" s="29" t="n"/>
      <c r="E415" s="28" t="n"/>
      <c r="F415" s="28" t="n"/>
    </row>
    <row r="416">
      <c r="A416" s="27" t="n"/>
      <c r="B416" s="28" t="n"/>
      <c r="C416" s="28" t="n"/>
      <c r="D416" s="29" t="n"/>
      <c r="E416" s="28" t="n"/>
      <c r="F416" s="28" t="n"/>
    </row>
    <row r="417">
      <c r="A417" s="27" t="n"/>
      <c r="B417" s="28" t="n"/>
      <c r="C417" s="28" t="n"/>
      <c r="D417" s="29" t="n"/>
      <c r="E417" s="28" t="n"/>
      <c r="F417" s="28" t="n"/>
    </row>
    <row r="418">
      <c r="A418" s="27" t="n"/>
      <c r="B418" s="28" t="n"/>
      <c r="C418" s="28" t="n"/>
      <c r="D418" s="29" t="n"/>
      <c r="E418" s="28" t="n"/>
      <c r="F418" s="28" t="n"/>
    </row>
    <row r="419">
      <c r="A419" s="27" t="n"/>
      <c r="B419" s="28" t="n"/>
      <c r="C419" s="28" t="n"/>
      <c r="D419" s="29" t="n"/>
      <c r="E419" s="28" t="n"/>
      <c r="F419" s="28" t="n"/>
    </row>
    <row r="420">
      <c r="A420" s="27" t="n"/>
      <c r="B420" s="28" t="n"/>
      <c r="C420" s="28" t="n"/>
      <c r="D420" s="29" t="n"/>
      <c r="E420" s="28" t="n"/>
      <c r="F420" s="28" t="n"/>
    </row>
    <row r="421">
      <c r="A421" s="27" t="n"/>
      <c r="B421" s="28" t="n"/>
      <c r="C421" s="28" t="n"/>
      <c r="D421" s="29" t="n"/>
      <c r="E421" s="28" t="n"/>
      <c r="F421" s="28" t="n"/>
    </row>
    <row r="422">
      <c r="A422" s="27" t="n"/>
      <c r="B422" s="28" t="n"/>
      <c r="C422" s="28" t="n"/>
      <c r="D422" s="29" t="n"/>
      <c r="E422" s="28" t="n"/>
      <c r="F422" s="28" t="n"/>
    </row>
    <row r="423">
      <c r="A423" s="27" t="n"/>
      <c r="B423" s="28" t="n"/>
      <c r="C423" s="28" t="n"/>
      <c r="D423" s="29" t="n"/>
      <c r="E423" s="28" t="n"/>
      <c r="F423" s="28" t="n"/>
    </row>
    <row r="424">
      <c r="A424" s="27" t="n"/>
      <c r="B424" s="28" t="n"/>
      <c r="C424" s="28" t="n"/>
      <c r="D424" s="29" t="n"/>
      <c r="E424" s="28" t="n"/>
      <c r="F424" s="28" t="n"/>
    </row>
    <row r="425">
      <c r="A425" s="27" t="n"/>
      <c r="B425" s="28" t="n"/>
      <c r="C425" s="28" t="n"/>
      <c r="D425" s="29" t="n"/>
      <c r="E425" s="28" t="n"/>
      <c r="F425" s="28" t="n"/>
    </row>
    <row r="426">
      <c r="A426" s="27" t="n"/>
      <c r="B426" s="28" t="n"/>
      <c r="C426" s="28" t="n"/>
      <c r="D426" s="29" t="n"/>
      <c r="E426" s="28" t="n"/>
      <c r="F426" s="28" t="n"/>
    </row>
    <row r="427">
      <c r="A427" s="27" t="n"/>
      <c r="B427" s="28" t="n"/>
      <c r="C427" s="28" t="n"/>
      <c r="D427" s="29" t="n"/>
      <c r="E427" s="28" t="n"/>
      <c r="F427" s="28" t="n"/>
    </row>
    <row r="428">
      <c r="A428" s="27" t="n"/>
      <c r="B428" s="28" t="n"/>
      <c r="C428" s="28" t="n"/>
      <c r="D428" s="29" t="n"/>
      <c r="E428" s="28" t="n"/>
      <c r="F428" s="28" t="n"/>
    </row>
    <row r="429">
      <c r="A429" s="27" t="n"/>
      <c r="B429" s="28" t="n"/>
      <c r="C429" s="28" t="n"/>
      <c r="D429" s="29" t="n"/>
      <c r="E429" s="28" t="n"/>
      <c r="F429" s="28" t="n"/>
    </row>
    <row r="430">
      <c r="A430" s="27" t="n"/>
      <c r="B430" s="28" t="n"/>
      <c r="C430" s="28" t="n"/>
      <c r="D430" s="29" t="n"/>
      <c r="E430" s="28" t="n"/>
      <c r="F430" s="28" t="n"/>
    </row>
    <row r="431">
      <c r="A431" s="27" t="n"/>
      <c r="B431" s="28" t="n"/>
      <c r="C431" s="28" t="n"/>
      <c r="D431" s="29" t="n"/>
      <c r="E431" s="28" t="n"/>
      <c r="F431" s="28" t="n"/>
    </row>
    <row r="432">
      <c r="A432" s="27" t="n"/>
      <c r="B432" s="28" t="n"/>
      <c r="C432" s="28" t="n"/>
      <c r="D432" s="29" t="n"/>
      <c r="E432" s="28" t="n"/>
      <c r="F432" s="28" t="n"/>
    </row>
    <row r="433">
      <c r="A433" s="27" t="n"/>
      <c r="B433" s="28" t="n"/>
      <c r="C433" s="28" t="n"/>
      <c r="D433" s="29" t="n"/>
      <c r="E433" s="28" t="n"/>
      <c r="F433" s="28" t="n"/>
    </row>
    <row r="434">
      <c r="A434" s="27" t="n"/>
      <c r="B434" s="28" t="n"/>
      <c r="C434" s="28" t="n"/>
      <c r="D434" s="29" t="n"/>
      <c r="E434" s="28" t="n"/>
      <c r="F434" s="28" t="n"/>
    </row>
    <row r="435">
      <c r="A435" s="27" t="n"/>
      <c r="B435" s="28" t="n"/>
      <c r="C435" s="28" t="n"/>
      <c r="D435" s="29" t="n"/>
      <c r="E435" s="28" t="n"/>
      <c r="F435" s="28" t="n"/>
    </row>
    <row r="436">
      <c r="A436" s="27" t="n"/>
      <c r="B436" s="28" t="n"/>
      <c r="C436" s="28" t="n"/>
      <c r="D436" s="29" t="n"/>
      <c r="E436" s="28" t="n"/>
      <c r="F436" s="28" t="n"/>
    </row>
    <row r="437">
      <c r="A437" s="27" t="n"/>
      <c r="B437" s="28" t="n"/>
      <c r="C437" s="28" t="n"/>
      <c r="D437" s="29" t="n"/>
      <c r="E437" s="28" t="n"/>
      <c r="F437" s="28" t="n"/>
    </row>
    <row r="438">
      <c r="A438" s="27" t="n"/>
      <c r="B438" s="28" t="n"/>
      <c r="C438" s="28" t="n"/>
      <c r="D438" s="29" t="n"/>
      <c r="E438" s="28" t="n"/>
      <c r="F438" s="28" t="n"/>
    </row>
    <row r="439">
      <c r="A439" s="27" t="n"/>
      <c r="B439" s="28" t="n"/>
      <c r="C439" s="28" t="n"/>
      <c r="D439" s="29" t="n"/>
      <c r="E439" s="28" t="n"/>
      <c r="F439" s="28" t="n"/>
    </row>
    <row r="440">
      <c r="A440" s="27" t="n"/>
      <c r="B440" s="28" t="n"/>
      <c r="C440" s="28" t="n"/>
      <c r="D440" s="29" t="n"/>
      <c r="E440" s="28" t="n"/>
      <c r="F440" s="28" t="n"/>
    </row>
    <row r="441">
      <c r="A441" s="27" t="n"/>
      <c r="B441" s="28" t="n"/>
      <c r="C441" s="28" t="n"/>
      <c r="D441" s="29" t="n"/>
      <c r="E441" s="28" t="n"/>
      <c r="F441" s="28" t="n"/>
    </row>
    <row r="442">
      <c r="A442" s="27" t="n"/>
      <c r="B442" s="28" t="n"/>
      <c r="C442" s="28" t="n"/>
      <c r="D442" s="29" t="n"/>
      <c r="E442" s="28" t="n"/>
      <c r="F442" s="28" t="n"/>
    </row>
    <row r="443">
      <c r="A443" s="27" t="n"/>
      <c r="B443" s="28" t="n"/>
      <c r="C443" s="28" t="n"/>
      <c r="D443" s="29" t="n"/>
      <c r="E443" s="28" t="n"/>
      <c r="F443" s="28" t="n"/>
    </row>
    <row r="444">
      <c r="A444" s="27" t="n"/>
      <c r="B444" s="28" t="n"/>
      <c r="C444" s="28" t="n"/>
      <c r="D444" s="29" t="n"/>
      <c r="E444" s="28" t="n"/>
      <c r="F444" s="28" t="n"/>
    </row>
    <row r="445">
      <c r="A445" s="27" t="n"/>
      <c r="B445" s="28" t="n"/>
      <c r="C445" s="28" t="n"/>
      <c r="D445" s="29" t="n"/>
      <c r="E445" s="28" t="n"/>
      <c r="F445" s="28" t="n"/>
    </row>
    <row r="446">
      <c r="A446" s="27" t="n"/>
      <c r="B446" s="28" t="n"/>
      <c r="C446" s="28" t="n"/>
      <c r="D446" s="29" t="n"/>
      <c r="E446" s="28" t="n"/>
      <c r="F446" s="28" t="n"/>
    </row>
    <row r="447">
      <c r="A447" s="27" t="n"/>
      <c r="B447" s="28" t="n"/>
      <c r="C447" s="28" t="n"/>
      <c r="D447" s="29" t="n"/>
      <c r="E447" s="28" t="n"/>
      <c r="F447" s="28" t="n"/>
    </row>
    <row r="448">
      <c r="A448" s="27" t="n"/>
      <c r="B448" s="28" t="n"/>
      <c r="C448" s="28" t="n"/>
      <c r="D448" s="29" t="n"/>
      <c r="E448" s="28" t="n"/>
      <c r="F448" s="28" t="n"/>
    </row>
    <row r="449">
      <c r="A449" s="27" t="n"/>
      <c r="B449" s="28" t="n"/>
      <c r="C449" s="28" t="n"/>
      <c r="D449" s="29" t="n"/>
      <c r="E449" s="28" t="n"/>
      <c r="F449" s="28" t="n"/>
    </row>
    <row r="450">
      <c r="A450" s="27" t="n"/>
      <c r="B450" s="28" t="n"/>
      <c r="C450" s="28" t="n"/>
      <c r="D450" s="29" t="n"/>
      <c r="E450" s="28" t="n"/>
      <c r="F450" s="28" t="n"/>
    </row>
    <row r="451">
      <c r="A451" s="27" t="n"/>
      <c r="B451" s="28" t="n"/>
      <c r="C451" s="28" t="n"/>
      <c r="D451" s="29" t="n"/>
      <c r="E451" s="28" t="n"/>
      <c r="F451" s="28" t="n"/>
    </row>
    <row r="452">
      <c r="A452" s="27" t="n"/>
      <c r="B452" s="28" t="n"/>
      <c r="C452" s="28" t="n"/>
      <c r="D452" s="29" t="n"/>
      <c r="E452" s="28" t="n"/>
      <c r="F452" s="28" t="n"/>
    </row>
    <row r="453">
      <c r="A453" s="27" t="n"/>
      <c r="B453" s="28" t="n"/>
      <c r="C453" s="28" t="n"/>
      <c r="D453" s="29" t="n"/>
      <c r="E453" s="28" t="n"/>
      <c r="F453" s="28" t="n"/>
    </row>
    <row r="454">
      <c r="A454" s="27" t="n"/>
      <c r="B454" s="28" t="n"/>
      <c r="C454" s="28" t="n"/>
      <c r="D454" s="29" t="n"/>
      <c r="E454" s="28" t="n"/>
      <c r="F454" s="28" t="n"/>
    </row>
    <row r="455">
      <c r="A455" s="27" t="n"/>
      <c r="B455" s="28" t="n"/>
      <c r="C455" s="28" t="n"/>
      <c r="D455" s="29" t="n"/>
      <c r="E455" s="28" t="n"/>
      <c r="F455" s="28" t="n"/>
    </row>
    <row r="456">
      <c r="A456" s="27" t="n"/>
      <c r="B456" s="28" t="n"/>
      <c r="C456" s="28" t="n"/>
      <c r="D456" s="29" t="n"/>
      <c r="E456" s="28" t="n"/>
      <c r="F456" s="28" t="n"/>
    </row>
    <row r="457">
      <c r="A457" s="27" t="n"/>
      <c r="B457" s="28" t="n"/>
      <c r="C457" s="28" t="n"/>
      <c r="D457" s="29" t="n"/>
      <c r="E457" s="28" t="n"/>
      <c r="F457" s="28" t="n"/>
    </row>
    <row r="458">
      <c r="A458" s="27" t="n"/>
      <c r="B458" s="28" t="n"/>
      <c r="C458" s="28" t="n"/>
      <c r="D458" s="29" t="n"/>
      <c r="E458" s="28" t="n"/>
      <c r="F458" s="28" t="n"/>
    </row>
    <row r="459">
      <c r="A459" s="27" t="n"/>
      <c r="B459" s="28" t="n"/>
      <c r="C459" s="28" t="n"/>
      <c r="D459" s="29" t="n"/>
      <c r="E459" s="28" t="n"/>
      <c r="F459" s="28" t="n"/>
    </row>
    <row r="460">
      <c r="A460" s="27" t="n"/>
      <c r="B460" s="28" t="n"/>
      <c r="C460" s="28" t="n"/>
      <c r="D460" s="29" t="n"/>
      <c r="E460" s="28" t="n"/>
      <c r="F460" s="28" t="n"/>
    </row>
    <row r="461">
      <c r="A461" s="27" t="n"/>
      <c r="B461" s="28" t="n"/>
      <c r="C461" s="28" t="n"/>
      <c r="D461" s="29" t="n"/>
      <c r="E461" s="28" t="n"/>
      <c r="F461" s="28" t="n"/>
    </row>
    <row r="462">
      <c r="A462" s="27" t="n"/>
      <c r="B462" s="28" t="n"/>
      <c r="C462" s="28" t="n"/>
      <c r="D462" s="29" t="n"/>
      <c r="E462" s="28" t="n"/>
      <c r="F462" s="28" t="n"/>
    </row>
    <row r="463">
      <c r="A463" s="27" t="n"/>
      <c r="B463" s="28" t="n"/>
      <c r="C463" s="28" t="n"/>
      <c r="D463" s="29" t="n"/>
      <c r="E463" s="28" t="n"/>
      <c r="F463" s="28" t="n"/>
    </row>
    <row r="464">
      <c r="A464" s="27" t="n"/>
      <c r="B464" s="28" t="n"/>
      <c r="C464" s="28" t="n"/>
      <c r="D464" s="29" t="n"/>
      <c r="E464" s="28" t="n"/>
      <c r="F464" s="28" t="n"/>
    </row>
    <row r="465">
      <c r="A465" s="27" t="n"/>
      <c r="B465" s="28" t="n"/>
      <c r="C465" s="28" t="n"/>
      <c r="D465" s="29" t="n"/>
      <c r="E465" s="28" t="n"/>
      <c r="F465" s="28" t="n"/>
    </row>
    <row r="466">
      <c r="A466" s="27" t="n"/>
      <c r="B466" s="28" t="n"/>
      <c r="C466" s="28" t="n"/>
      <c r="D466" s="29" t="n"/>
      <c r="E466" s="28" t="n"/>
      <c r="F466" s="28" t="n"/>
    </row>
    <row r="467">
      <c r="A467" s="27" t="n"/>
      <c r="B467" s="28" t="n"/>
      <c r="C467" s="28" t="n"/>
      <c r="D467" s="29" t="n"/>
      <c r="E467" s="28" t="n"/>
      <c r="F467" s="28" t="n"/>
    </row>
    <row r="468">
      <c r="A468" s="27" t="n"/>
      <c r="B468" s="28" t="n"/>
      <c r="C468" s="28" t="n"/>
      <c r="D468" s="29" t="n"/>
      <c r="E468" s="28" t="n"/>
      <c r="F468" s="28" t="n"/>
    </row>
    <row r="469">
      <c r="A469" s="27" t="n"/>
      <c r="B469" s="28" t="n"/>
      <c r="C469" s="28" t="n"/>
      <c r="D469" s="29" t="n"/>
      <c r="E469" s="28" t="n"/>
      <c r="F469" s="28" t="n"/>
    </row>
    <row r="470">
      <c r="A470" s="27" t="n"/>
      <c r="B470" s="28" t="n"/>
      <c r="C470" s="28" t="n"/>
      <c r="D470" s="29" t="n"/>
      <c r="E470" s="28" t="n"/>
      <c r="F470" s="28" t="n"/>
    </row>
    <row r="471">
      <c r="A471" s="27" t="n"/>
      <c r="B471" s="28" t="n"/>
      <c r="C471" s="28" t="n"/>
      <c r="D471" s="29" t="n"/>
      <c r="E471" s="28" t="n"/>
      <c r="F471" s="28" t="n"/>
    </row>
    <row r="472">
      <c r="A472" s="27" t="n"/>
      <c r="B472" s="28" t="n"/>
      <c r="C472" s="28" t="n"/>
      <c r="D472" s="29" t="n"/>
      <c r="E472" s="28" t="n"/>
      <c r="F472" s="28" t="n"/>
    </row>
    <row r="473">
      <c r="A473" s="27" t="n"/>
      <c r="B473" s="28" t="n"/>
      <c r="C473" s="28" t="n"/>
      <c r="D473" s="29" t="n"/>
      <c r="E473" s="28" t="n"/>
      <c r="F473" s="28" t="n"/>
    </row>
    <row r="474">
      <c r="A474" s="27" t="n"/>
      <c r="B474" s="28" t="n"/>
      <c r="C474" s="28" t="n"/>
      <c r="D474" s="29" t="n"/>
      <c r="E474" s="28" t="n"/>
      <c r="F474" s="28" t="n"/>
    </row>
    <row r="475">
      <c r="A475" s="27" t="n"/>
      <c r="B475" s="28" t="n"/>
      <c r="C475" s="28" t="n"/>
      <c r="D475" s="29" t="n"/>
      <c r="E475" s="28" t="n"/>
      <c r="F475" s="28" t="n"/>
    </row>
    <row r="476">
      <c r="A476" s="27" t="n"/>
      <c r="B476" s="28" t="n"/>
      <c r="C476" s="28" t="n"/>
      <c r="D476" s="29" t="n"/>
      <c r="E476" s="28" t="n"/>
      <c r="F476" s="28" t="n"/>
    </row>
    <row r="477">
      <c r="A477" s="27" t="n"/>
      <c r="B477" s="28" t="n"/>
      <c r="C477" s="28" t="n"/>
      <c r="D477" s="29" t="n"/>
      <c r="E477" s="28" t="n"/>
      <c r="F477" s="28" t="n"/>
    </row>
    <row r="478">
      <c r="A478" s="27" t="n"/>
      <c r="B478" s="28" t="n"/>
      <c r="C478" s="28" t="n"/>
      <c r="D478" s="29" t="n"/>
      <c r="E478" s="28" t="n"/>
      <c r="F478" s="28" t="n"/>
    </row>
    <row r="479">
      <c r="A479" s="27" t="n"/>
      <c r="B479" s="28" t="n"/>
      <c r="C479" s="28" t="n"/>
      <c r="D479" s="29" t="n"/>
      <c r="E479" s="28" t="n"/>
      <c r="F479" s="28" t="n"/>
    </row>
    <row r="480">
      <c r="A480" s="27" t="n"/>
      <c r="B480" s="28" t="n"/>
      <c r="C480" s="28" t="n"/>
      <c r="D480" s="29" t="n"/>
      <c r="E480" s="28" t="n"/>
      <c r="F480" s="28" t="n"/>
    </row>
    <row r="481">
      <c r="A481" s="27" t="n"/>
      <c r="B481" s="28" t="n"/>
      <c r="C481" s="28" t="n"/>
      <c r="D481" s="29" t="n"/>
      <c r="E481" s="28" t="n"/>
      <c r="F481" s="28" t="n"/>
    </row>
    <row r="482">
      <c r="A482" s="27" t="n"/>
      <c r="B482" s="28" t="n"/>
      <c r="C482" s="28" t="n"/>
      <c r="D482" s="29" t="n"/>
      <c r="E482" s="28" t="n"/>
      <c r="F482" s="28" t="n"/>
    </row>
    <row r="483">
      <c r="A483" s="27" t="n"/>
      <c r="B483" s="28" t="n"/>
      <c r="C483" s="28" t="n"/>
      <c r="D483" s="29" t="n"/>
      <c r="E483" s="28" t="n"/>
      <c r="F483" s="28" t="n"/>
    </row>
    <row r="484">
      <c r="A484" s="27" t="n"/>
      <c r="B484" s="28" t="n"/>
      <c r="C484" s="28" t="n"/>
      <c r="D484" s="29" t="n"/>
      <c r="E484" s="28" t="n"/>
      <c r="F484" s="28" t="n"/>
    </row>
    <row r="485">
      <c r="A485" s="27" t="n"/>
      <c r="B485" s="28" t="n"/>
      <c r="C485" s="28" t="n"/>
      <c r="D485" s="29" t="n"/>
      <c r="E485" s="28" t="n"/>
      <c r="F485" s="28" t="n"/>
    </row>
    <row r="486">
      <c r="A486" s="27" t="n"/>
      <c r="B486" s="28" t="n"/>
      <c r="C486" s="28" t="n"/>
      <c r="D486" s="29" t="n"/>
      <c r="E486" s="28" t="n"/>
      <c r="F486" s="28" t="n"/>
    </row>
    <row r="487">
      <c r="A487" s="27" t="n"/>
      <c r="B487" s="28" t="n"/>
      <c r="C487" s="28" t="n"/>
      <c r="D487" s="29" t="n"/>
      <c r="E487" s="28" t="n"/>
      <c r="F487" s="28" t="n"/>
    </row>
    <row r="488">
      <c r="A488" s="27" t="n"/>
      <c r="B488" s="28" t="n"/>
      <c r="C488" s="28" t="n"/>
      <c r="D488" s="29" t="n"/>
      <c r="E488" s="28" t="n"/>
      <c r="F488" s="28" t="n"/>
    </row>
    <row r="489">
      <c r="A489" s="27" t="n"/>
      <c r="B489" s="28" t="n"/>
      <c r="C489" s="28" t="n"/>
      <c r="D489" s="29" t="n"/>
      <c r="E489" s="28" t="n"/>
      <c r="F489" s="28" t="n"/>
    </row>
    <row r="490">
      <c r="A490" s="27" t="n"/>
      <c r="B490" s="28" t="n"/>
      <c r="C490" s="28" t="n"/>
      <c r="D490" s="29" t="n"/>
      <c r="E490" s="28" t="n"/>
      <c r="F490" s="28" t="n"/>
    </row>
    <row r="491">
      <c r="A491" s="27" t="n"/>
      <c r="B491" s="28" t="n"/>
      <c r="C491" s="28" t="n"/>
      <c r="D491" s="29" t="n"/>
      <c r="E491" s="28" t="n"/>
      <c r="F491" s="28" t="n"/>
    </row>
    <row r="492">
      <c r="A492" s="27" t="n"/>
      <c r="B492" s="28" t="n"/>
      <c r="C492" s="28" t="n"/>
      <c r="D492" s="29" t="n"/>
      <c r="E492" s="28" t="n"/>
      <c r="F492" s="28" t="n"/>
    </row>
    <row r="493">
      <c r="A493" s="27" t="n"/>
      <c r="B493" s="28" t="n"/>
      <c r="C493" s="28" t="n"/>
      <c r="D493" s="29" t="n"/>
      <c r="E493" s="28" t="n"/>
      <c r="F493" s="28" t="n"/>
    </row>
    <row r="494">
      <c r="A494" s="27" t="n"/>
      <c r="B494" s="28" t="n"/>
      <c r="C494" s="28" t="n"/>
      <c r="D494" s="29" t="n"/>
      <c r="E494" s="28" t="n"/>
      <c r="F494" s="28" t="n"/>
    </row>
    <row r="495">
      <c r="A495" s="27" t="n"/>
      <c r="B495" s="28" t="n"/>
      <c r="C495" s="28" t="n"/>
      <c r="D495" s="29" t="n"/>
      <c r="E495" s="28" t="n"/>
      <c r="F495" s="28" t="n"/>
    </row>
    <row r="496">
      <c r="A496" s="27" t="n"/>
      <c r="B496" s="28" t="n"/>
      <c r="C496" s="28" t="n"/>
      <c r="D496" s="29" t="n"/>
      <c r="E496" s="28" t="n"/>
      <c r="F496" s="28" t="n"/>
    </row>
    <row r="497">
      <c r="A497" s="27" t="n"/>
      <c r="B497" s="28" t="n"/>
      <c r="C497" s="28" t="n"/>
      <c r="D497" s="29" t="n"/>
      <c r="E497" s="28" t="n"/>
      <c r="F497" s="28" t="n"/>
    </row>
    <row r="498">
      <c r="A498" s="27" t="n"/>
      <c r="B498" s="28" t="n"/>
      <c r="C498" s="28" t="n"/>
      <c r="D498" s="29" t="n"/>
      <c r="E498" s="28" t="n"/>
      <c r="F498" s="28" t="n"/>
    </row>
    <row r="499">
      <c r="A499" s="27" t="n"/>
      <c r="B499" s="28" t="n"/>
      <c r="C499" s="28" t="n"/>
      <c r="D499" s="29" t="n"/>
      <c r="E499" s="28" t="n"/>
      <c r="F499" s="28" t="n"/>
    </row>
    <row r="500">
      <c r="A500" s="27" t="n"/>
      <c r="B500" s="28" t="n"/>
      <c r="C500" s="28" t="n"/>
      <c r="D500" s="29" t="n"/>
      <c r="E500" s="28" t="n"/>
      <c r="F500" s="28" t="n"/>
    </row>
    <row r="501">
      <c r="A501" s="27" t="n"/>
      <c r="B501" s="28" t="n"/>
      <c r="C501" s="28" t="n"/>
      <c r="D501" s="29" t="n"/>
      <c r="E501" s="28" t="n"/>
      <c r="F501" s="28" t="n"/>
    </row>
    <row r="502">
      <c r="A502" s="27" t="n"/>
      <c r="B502" s="28" t="n"/>
      <c r="C502" s="28" t="n"/>
      <c r="D502" s="29" t="n"/>
      <c r="E502" s="28" t="n"/>
      <c r="F502" s="28" t="n"/>
    </row>
    <row r="503">
      <c r="A503" s="27" t="n"/>
      <c r="B503" s="28" t="n"/>
      <c r="C503" s="28" t="n"/>
      <c r="D503" s="29" t="n"/>
      <c r="E503" s="28" t="n"/>
      <c r="F503" s="28" t="n"/>
    </row>
    <row r="504">
      <c r="A504" s="27" t="n"/>
      <c r="B504" s="28" t="n"/>
      <c r="C504" s="28" t="n"/>
      <c r="D504" s="29" t="n"/>
      <c r="E504" s="28" t="n"/>
      <c r="F504" s="28" t="n"/>
    </row>
    <row r="505">
      <c r="A505" s="27" t="n"/>
      <c r="B505" s="28" t="n"/>
      <c r="C505" s="28" t="n"/>
      <c r="D505" s="29" t="n"/>
      <c r="E505" s="28" t="n"/>
      <c r="F505" s="28" t="n"/>
    </row>
    <row r="506">
      <c r="A506" s="27" t="n"/>
      <c r="B506" s="28" t="n"/>
      <c r="C506" s="28" t="n"/>
      <c r="D506" s="29" t="n"/>
      <c r="E506" s="28" t="n"/>
      <c r="F506" s="28" t="n"/>
    </row>
    <row r="507">
      <c r="A507" s="27" t="n"/>
      <c r="B507" s="28" t="n"/>
      <c r="C507" s="28" t="n"/>
      <c r="D507" s="29" t="n"/>
      <c r="E507" s="28" t="n"/>
      <c r="F507" s="28" t="n"/>
    </row>
    <row r="508">
      <c r="A508" s="27" t="n"/>
      <c r="B508" s="28" t="n"/>
      <c r="C508" s="28" t="n"/>
      <c r="D508" s="29" t="n"/>
      <c r="E508" s="28" t="n"/>
      <c r="F508" s="28" t="n"/>
    </row>
    <row r="509">
      <c r="A509" s="27" t="n"/>
      <c r="B509" s="28" t="n"/>
      <c r="C509" s="28" t="n"/>
      <c r="D509" s="29" t="n"/>
      <c r="E509" s="28" t="n"/>
      <c r="F509" s="28" t="n"/>
    </row>
    <row r="510">
      <c r="A510" s="27" t="n"/>
      <c r="B510" s="28" t="n"/>
      <c r="C510" s="28" t="n"/>
      <c r="D510" s="29" t="n"/>
      <c r="E510" s="28" t="n"/>
      <c r="F510" s="28" t="n"/>
    </row>
    <row r="511">
      <c r="A511" s="27" t="n"/>
      <c r="B511" s="28" t="n"/>
      <c r="C511" s="28" t="n"/>
      <c r="D511" s="29" t="n"/>
      <c r="E511" s="28" t="n"/>
      <c r="F511" s="28" t="n"/>
    </row>
    <row r="512">
      <c r="A512" s="27" t="n"/>
      <c r="B512" s="28" t="n"/>
      <c r="C512" s="28" t="n"/>
      <c r="D512" s="29" t="n"/>
      <c r="E512" s="28" t="n"/>
      <c r="F512" s="28" t="n"/>
    </row>
    <row r="513">
      <c r="A513" s="27" t="n"/>
      <c r="B513" s="28" t="n"/>
      <c r="C513" s="28" t="n"/>
      <c r="D513" s="29" t="n"/>
      <c r="E513" s="28" t="n"/>
      <c r="F513" s="28" t="n"/>
    </row>
    <row r="514">
      <c r="A514" s="27" t="n"/>
      <c r="B514" s="28" t="n"/>
      <c r="C514" s="28" t="n"/>
      <c r="D514" s="29" t="n"/>
      <c r="E514" s="28" t="n"/>
      <c r="F514" s="28" t="n"/>
    </row>
    <row r="515">
      <c r="A515" s="27" t="n"/>
      <c r="B515" s="28" t="n"/>
      <c r="C515" s="28" t="n"/>
      <c r="D515" s="29" t="n"/>
      <c r="E515" s="28" t="n"/>
      <c r="F515" s="28" t="n"/>
    </row>
    <row r="516">
      <c r="A516" s="27" t="n"/>
      <c r="B516" s="28" t="n"/>
      <c r="C516" s="28" t="n"/>
      <c r="D516" s="29" t="n"/>
      <c r="E516" s="28" t="n"/>
      <c r="F516" s="28" t="n"/>
    </row>
    <row r="517">
      <c r="A517" s="27" t="n"/>
      <c r="B517" s="28" t="n"/>
      <c r="C517" s="28" t="n"/>
      <c r="D517" s="29" t="n"/>
      <c r="E517" s="28" t="n"/>
      <c r="F517" s="28" t="n"/>
    </row>
    <row r="518">
      <c r="A518" s="27" t="n"/>
      <c r="B518" s="28" t="n"/>
      <c r="C518" s="28" t="n"/>
      <c r="D518" s="29" t="n"/>
      <c r="E518" s="28" t="n"/>
      <c r="F518" s="28" t="n"/>
    </row>
    <row r="519">
      <c r="A519" s="27" t="n"/>
      <c r="B519" s="28" t="n"/>
      <c r="C519" s="28" t="n"/>
      <c r="D519" s="29" t="n"/>
      <c r="E519" s="28" t="n"/>
      <c r="F519" s="28" t="n"/>
    </row>
    <row r="520">
      <c r="A520" s="27" t="n"/>
      <c r="B520" s="28" t="n"/>
      <c r="C520" s="28" t="n"/>
      <c r="D520" s="29" t="n"/>
      <c r="E520" s="28" t="n"/>
      <c r="F520" s="28" t="n"/>
    </row>
    <row r="521">
      <c r="A521" s="27" t="n"/>
      <c r="B521" s="28" t="n"/>
      <c r="C521" s="28" t="n"/>
      <c r="D521" s="29" t="n"/>
      <c r="E521" s="28" t="n"/>
      <c r="F521" s="28" t="n"/>
    </row>
    <row r="522">
      <c r="A522" s="27" t="n"/>
      <c r="B522" s="28" t="n"/>
      <c r="C522" s="28" t="n"/>
      <c r="D522" s="29" t="n"/>
      <c r="E522" s="28" t="n"/>
      <c r="F522" s="28" t="n"/>
    </row>
    <row r="523">
      <c r="A523" s="27" t="n"/>
      <c r="B523" s="28" t="n"/>
      <c r="C523" s="28" t="n"/>
      <c r="D523" s="29" t="n"/>
      <c r="E523" s="28" t="n"/>
      <c r="F523" s="28" t="n"/>
    </row>
    <row r="524">
      <c r="A524" s="27" t="n"/>
      <c r="B524" s="28" t="n"/>
      <c r="C524" s="28" t="n"/>
      <c r="D524" s="29" t="n"/>
      <c r="E524" s="28" t="n"/>
      <c r="F524" s="28" t="n"/>
    </row>
    <row r="525">
      <c r="A525" s="27" t="n"/>
      <c r="B525" s="28" t="n"/>
      <c r="C525" s="28" t="n"/>
      <c r="D525" s="29" t="n"/>
      <c r="E525" s="28" t="n"/>
      <c r="F525" s="28" t="n"/>
    </row>
    <row r="526">
      <c r="A526" s="27" t="n"/>
      <c r="B526" s="28" t="n"/>
      <c r="C526" s="28" t="n"/>
      <c r="D526" s="29" t="n"/>
      <c r="E526" s="28" t="n"/>
      <c r="F526" s="28" t="n"/>
    </row>
    <row r="527">
      <c r="A527" s="27" t="n"/>
      <c r="B527" s="28" t="n"/>
      <c r="C527" s="28" t="n"/>
      <c r="D527" s="29" t="n"/>
      <c r="E527" s="28" t="n"/>
      <c r="F527" s="28" t="n"/>
    </row>
    <row r="528">
      <c r="A528" s="27" t="n"/>
      <c r="B528" s="28" t="n"/>
      <c r="C528" s="28" t="n"/>
      <c r="D528" s="29" t="n"/>
      <c r="E528" s="28" t="n"/>
      <c r="F528" s="28" t="n"/>
    </row>
    <row r="529">
      <c r="A529" s="27" t="n"/>
      <c r="B529" s="28" t="n"/>
      <c r="C529" s="28" t="n"/>
      <c r="D529" s="29" t="n"/>
      <c r="E529" s="28" t="n"/>
      <c r="F529" s="28" t="n"/>
    </row>
    <row r="530">
      <c r="A530" s="27" t="n"/>
      <c r="B530" s="28" t="n"/>
      <c r="C530" s="28" t="n"/>
      <c r="D530" s="29" t="n"/>
      <c r="E530" s="28" t="n"/>
      <c r="F530" s="28" t="n"/>
    </row>
    <row r="531">
      <c r="A531" s="27" t="n"/>
      <c r="B531" s="28" t="n"/>
      <c r="C531" s="28" t="n"/>
      <c r="D531" s="29" t="n"/>
      <c r="E531" s="28" t="n"/>
      <c r="F531" s="28" t="n"/>
    </row>
    <row r="532">
      <c r="A532" s="27" t="n"/>
      <c r="B532" s="28" t="n"/>
      <c r="C532" s="28" t="n"/>
      <c r="D532" s="29" t="n"/>
      <c r="E532" s="28" t="n"/>
      <c r="F532" s="28" t="n"/>
    </row>
    <row r="533">
      <c r="A533" s="27" t="n"/>
      <c r="B533" s="28" t="n"/>
      <c r="C533" s="28" t="n"/>
      <c r="D533" s="29" t="n"/>
      <c r="E533" s="28" t="n"/>
      <c r="F533" s="28" t="n"/>
    </row>
    <row r="534">
      <c r="A534" s="27" t="n"/>
      <c r="B534" s="28" t="n"/>
      <c r="C534" s="28" t="n"/>
      <c r="D534" s="29" t="n"/>
      <c r="E534" s="28" t="n"/>
      <c r="F534" s="28" t="n"/>
    </row>
    <row r="535">
      <c r="A535" s="27" t="n"/>
      <c r="B535" s="28" t="n"/>
      <c r="C535" s="28" t="n"/>
      <c r="D535" s="29" t="n"/>
      <c r="E535" s="28" t="n"/>
      <c r="F535" s="28" t="n"/>
    </row>
    <row r="536">
      <c r="A536" s="27" t="n"/>
      <c r="B536" s="28" t="n"/>
      <c r="C536" s="28" t="n"/>
      <c r="D536" s="29" t="n"/>
      <c r="E536" s="28" t="n"/>
      <c r="F536" s="28" t="n"/>
    </row>
    <row r="537">
      <c r="A537" s="27" t="n"/>
      <c r="B537" s="28" t="n"/>
      <c r="C537" s="28" t="n"/>
      <c r="D537" s="29" t="n"/>
      <c r="E537" s="28" t="n"/>
      <c r="F537" s="28" t="n"/>
    </row>
    <row r="538">
      <c r="A538" s="27" t="n"/>
      <c r="B538" s="28" t="n"/>
      <c r="C538" s="28" t="n"/>
      <c r="D538" s="29" t="n"/>
      <c r="E538" s="28" t="n"/>
      <c r="F538" s="28" t="n"/>
    </row>
    <row r="539">
      <c r="A539" s="27" t="n"/>
      <c r="B539" s="28" t="n"/>
      <c r="C539" s="28" t="n"/>
      <c r="D539" s="29" t="n"/>
      <c r="E539" s="28" t="n"/>
      <c r="F539" s="28" t="n"/>
    </row>
    <row r="540">
      <c r="A540" s="27" t="n"/>
      <c r="B540" s="28" t="n"/>
      <c r="C540" s="28" t="n"/>
      <c r="D540" s="29" t="n"/>
      <c r="E540" s="28" t="n"/>
      <c r="F540" s="28" t="n"/>
    </row>
    <row r="541">
      <c r="A541" s="27" t="n"/>
      <c r="B541" s="28" t="n"/>
      <c r="C541" s="28" t="n"/>
      <c r="D541" s="29" t="n"/>
      <c r="E541" s="28" t="n"/>
      <c r="F541" s="28" t="n"/>
    </row>
    <row r="542">
      <c r="A542" s="27" t="n"/>
      <c r="B542" s="28" t="n"/>
      <c r="C542" s="28" t="n"/>
      <c r="D542" s="29" t="n"/>
      <c r="E542" s="28" t="n"/>
      <c r="F542" s="28" t="n"/>
    </row>
    <row r="543">
      <c r="A543" s="27" t="n"/>
      <c r="B543" s="28" t="n"/>
      <c r="C543" s="28" t="n"/>
      <c r="D543" s="29" t="n"/>
      <c r="E543" s="28" t="n"/>
      <c r="F543" s="28" t="n"/>
    </row>
    <row r="544">
      <c r="A544" s="27" t="n"/>
      <c r="B544" s="28" t="n"/>
      <c r="C544" s="28" t="n"/>
      <c r="D544" s="29" t="n"/>
      <c r="E544" s="28" t="n"/>
      <c r="F544" s="28" t="n"/>
    </row>
    <row r="545">
      <c r="A545" s="27" t="n"/>
      <c r="B545" s="28" t="n"/>
      <c r="C545" s="28" t="n"/>
      <c r="D545" s="29" t="n"/>
      <c r="E545" s="28" t="n"/>
      <c r="F545" s="28" t="n"/>
    </row>
    <row r="546">
      <c r="A546" s="27" t="n"/>
      <c r="B546" s="28" t="n"/>
      <c r="C546" s="28" t="n"/>
      <c r="D546" s="29" t="n"/>
      <c r="E546" s="28" t="n"/>
      <c r="F546" s="28" t="n"/>
    </row>
    <row r="547">
      <c r="A547" s="27" t="n"/>
      <c r="B547" s="28" t="n"/>
      <c r="C547" s="28" t="n"/>
      <c r="D547" s="29" t="n"/>
      <c r="E547" s="28" t="n"/>
      <c r="F547" s="28" t="n"/>
    </row>
    <row r="548">
      <c r="A548" s="27" t="n"/>
      <c r="B548" s="28" t="n"/>
      <c r="C548" s="28" t="n"/>
      <c r="D548" s="29" t="n"/>
      <c r="E548" s="28" t="n"/>
      <c r="F548" s="28" t="n"/>
    </row>
    <row r="549">
      <c r="A549" s="27" t="n"/>
      <c r="B549" s="28" t="n"/>
      <c r="C549" s="28" t="n"/>
      <c r="D549" s="29" t="n"/>
      <c r="E549" s="28" t="n"/>
      <c r="F549" s="28" t="n"/>
    </row>
    <row r="550">
      <c r="A550" s="27" t="n"/>
      <c r="B550" s="28" t="n"/>
      <c r="C550" s="28" t="n"/>
      <c r="D550" s="29" t="n"/>
      <c r="E550" s="28" t="n"/>
      <c r="F550" s="28" t="n"/>
    </row>
    <row r="551">
      <c r="A551" s="27" t="n"/>
      <c r="B551" s="28" t="n"/>
      <c r="C551" s="28" t="n"/>
      <c r="D551" s="29" t="n"/>
      <c r="E551" s="28" t="n"/>
      <c r="F551" s="28" t="n"/>
    </row>
    <row r="552">
      <c r="A552" s="27" t="n"/>
      <c r="B552" s="28" t="n"/>
      <c r="C552" s="28" t="n"/>
      <c r="D552" s="29" t="n"/>
      <c r="E552" s="28" t="n"/>
      <c r="F552" s="28" t="n"/>
    </row>
    <row r="553">
      <c r="A553" s="27" t="n"/>
      <c r="B553" s="28" t="n"/>
      <c r="C553" s="28" t="n"/>
      <c r="D553" s="29" t="n"/>
      <c r="E553" s="28" t="n"/>
      <c r="F553" s="28" t="n"/>
    </row>
    <row r="554">
      <c r="A554" s="27" t="n"/>
      <c r="B554" s="28" t="n"/>
      <c r="C554" s="28" t="n"/>
      <c r="D554" s="29" t="n"/>
      <c r="E554" s="28" t="n"/>
      <c r="F554" s="28" t="n"/>
    </row>
    <row r="555">
      <c r="A555" s="27" t="n"/>
      <c r="B555" s="28" t="n"/>
      <c r="C555" s="28" t="n"/>
      <c r="D555" s="29" t="n"/>
      <c r="E555" s="28" t="n"/>
      <c r="F555" s="28" t="n"/>
    </row>
    <row r="556">
      <c r="A556" s="27" t="n"/>
      <c r="B556" s="28" t="n"/>
      <c r="C556" s="28" t="n"/>
      <c r="D556" s="29" t="n"/>
      <c r="E556" s="28" t="n"/>
      <c r="F556" s="28" t="n"/>
    </row>
    <row r="557">
      <c r="A557" s="27" t="n"/>
      <c r="B557" s="28" t="n"/>
      <c r="C557" s="28" t="n"/>
      <c r="D557" s="29" t="n"/>
      <c r="E557" s="28" t="n"/>
      <c r="F557" s="28" t="n"/>
    </row>
    <row r="558">
      <c r="A558" s="27" t="n"/>
      <c r="B558" s="28" t="n"/>
      <c r="C558" s="28" t="n"/>
      <c r="D558" s="29" t="n"/>
      <c r="E558" s="28" t="n"/>
      <c r="F558" s="28" t="n"/>
    </row>
    <row r="559">
      <c r="A559" s="27" t="n"/>
      <c r="B559" s="28" t="n"/>
      <c r="C559" s="28" t="n"/>
      <c r="D559" s="29" t="n"/>
      <c r="E559" s="28" t="n"/>
      <c r="F559" s="28" t="n"/>
    </row>
    <row r="560">
      <c r="A560" s="27" t="n"/>
      <c r="B560" s="28" t="n"/>
      <c r="C560" s="28" t="n"/>
      <c r="D560" s="29" t="n"/>
      <c r="E560" s="28" t="n"/>
      <c r="F560" s="28" t="n"/>
    </row>
    <row r="561">
      <c r="A561" s="27" t="n"/>
      <c r="B561" s="28" t="n"/>
      <c r="C561" s="28" t="n"/>
      <c r="D561" s="29" t="n"/>
      <c r="E561" s="28" t="n"/>
      <c r="F561" s="28" t="n"/>
    </row>
    <row r="562">
      <c r="A562" s="27" t="n"/>
      <c r="B562" s="28" t="n"/>
      <c r="C562" s="28" t="n"/>
      <c r="D562" s="29" t="n"/>
      <c r="E562" s="28" t="n"/>
      <c r="F562" s="28" t="n"/>
    </row>
    <row r="563">
      <c r="A563" s="27" t="n"/>
      <c r="B563" s="28" t="n"/>
      <c r="C563" s="28" t="n"/>
      <c r="D563" s="29" t="n"/>
      <c r="E563" s="28" t="n"/>
      <c r="F563" s="28" t="n"/>
    </row>
    <row r="564">
      <c r="A564" s="27" t="n"/>
      <c r="B564" s="28" t="n"/>
      <c r="C564" s="28" t="n"/>
      <c r="D564" s="29" t="n"/>
      <c r="E564" s="28" t="n"/>
      <c r="F564" s="28" t="n"/>
    </row>
    <row r="565">
      <c r="A565" s="27" t="n"/>
      <c r="B565" s="28" t="n"/>
      <c r="C565" s="28" t="n"/>
      <c r="D565" s="29" t="n"/>
      <c r="E565" s="28" t="n"/>
      <c r="F565" s="28" t="n"/>
    </row>
    <row r="566">
      <c r="A566" s="27" t="n"/>
      <c r="B566" s="28" t="n"/>
      <c r="C566" s="28" t="n"/>
      <c r="D566" s="29" t="n"/>
      <c r="E566" s="28" t="n"/>
      <c r="F566" s="28" t="n"/>
    </row>
    <row r="567">
      <c r="A567" s="27" t="n"/>
      <c r="B567" s="28" t="n"/>
      <c r="C567" s="28" t="n"/>
      <c r="D567" s="29" t="n"/>
      <c r="E567" s="28" t="n"/>
      <c r="F567" s="28" t="n"/>
    </row>
    <row r="568">
      <c r="A568" s="27" t="n"/>
      <c r="B568" s="28" t="n"/>
      <c r="C568" s="28" t="n"/>
      <c r="D568" s="29" t="n"/>
      <c r="E568" s="28" t="n"/>
      <c r="F568" s="28" t="n"/>
    </row>
    <row r="569">
      <c r="A569" s="27" t="n"/>
      <c r="B569" s="28" t="n"/>
      <c r="C569" s="28" t="n"/>
      <c r="D569" s="29" t="n"/>
      <c r="E569" s="28" t="n"/>
      <c r="F569" s="28" t="n"/>
    </row>
    <row r="570">
      <c r="A570" s="27" t="n"/>
      <c r="B570" s="28" t="n"/>
      <c r="C570" s="28" t="n"/>
      <c r="D570" s="29" t="n"/>
      <c r="E570" s="28" t="n"/>
      <c r="F570" s="28" t="n"/>
    </row>
    <row r="571">
      <c r="A571" s="27" t="n"/>
      <c r="B571" s="28" t="n"/>
      <c r="C571" s="28" t="n"/>
      <c r="D571" s="29" t="n"/>
      <c r="E571" s="28" t="n"/>
      <c r="F571" s="28" t="n"/>
    </row>
    <row r="572">
      <c r="A572" s="27" t="n"/>
      <c r="B572" s="28" t="n"/>
      <c r="C572" s="28" t="n"/>
      <c r="D572" s="29" t="n"/>
      <c r="E572" s="28" t="n"/>
      <c r="F572" s="28" t="n"/>
    </row>
    <row r="573">
      <c r="A573" s="27" t="n"/>
      <c r="B573" s="28" t="n"/>
      <c r="C573" s="28" t="n"/>
      <c r="D573" s="29" t="n"/>
      <c r="E573" s="28" t="n"/>
      <c r="F573" s="28" t="n"/>
    </row>
    <row r="574">
      <c r="A574" s="27" t="n"/>
      <c r="B574" s="28" t="n"/>
      <c r="C574" s="28" t="n"/>
      <c r="D574" s="29" t="n"/>
      <c r="E574" s="28" t="n"/>
      <c r="F574" s="28" t="n"/>
    </row>
    <row r="575">
      <c r="A575" s="27" t="n"/>
      <c r="B575" s="28" t="n"/>
      <c r="C575" s="28" t="n"/>
      <c r="D575" s="29" t="n"/>
      <c r="E575" s="28" t="n"/>
      <c r="F575" s="28" t="n"/>
    </row>
    <row r="576">
      <c r="A576" s="27" t="n"/>
      <c r="B576" s="28" t="n"/>
      <c r="C576" s="28" t="n"/>
      <c r="D576" s="29" t="n"/>
      <c r="E576" s="28" t="n"/>
      <c r="F576" s="28" t="n"/>
    </row>
    <row r="577">
      <c r="A577" s="27" t="n"/>
      <c r="B577" s="28" t="n"/>
      <c r="C577" s="28" t="n"/>
      <c r="D577" s="29" t="n"/>
      <c r="E577" s="28" t="n"/>
      <c r="F577" s="28" t="n"/>
    </row>
    <row r="578">
      <c r="A578" s="27" t="n"/>
      <c r="B578" s="28" t="n"/>
      <c r="C578" s="28" t="n"/>
      <c r="D578" s="29" t="n"/>
      <c r="E578" s="28" t="n"/>
      <c r="F578" s="28" t="n"/>
    </row>
    <row r="579">
      <c r="A579" s="27" t="n"/>
      <c r="B579" s="28" t="n"/>
      <c r="C579" s="28" t="n"/>
      <c r="D579" s="29" t="n"/>
      <c r="E579" s="28" t="n"/>
      <c r="F579" s="28" t="n"/>
    </row>
    <row r="580">
      <c r="A580" s="27" t="n"/>
      <c r="B580" s="28" t="n"/>
      <c r="C580" s="28" t="n"/>
      <c r="D580" s="29" t="n"/>
      <c r="E580" s="28" t="n"/>
      <c r="F580" s="28" t="n"/>
    </row>
    <row r="581">
      <c r="A581" s="27" t="n"/>
      <c r="B581" s="28" t="n"/>
      <c r="C581" s="28" t="n"/>
      <c r="D581" s="29" t="n"/>
      <c r="E581" s="28" t="n"/>
      <c r="F581" s="28" t="n"/>
    </row>
    <row r="582">
      <c r="A582" s="27" t="n"/>
      <c r="B582" s="28" t="n"/>
      <c r="C582" s="28" t="n"/>
      <c r="D582" s="29" t="n"/>
      <c r="E582" s="28" t="n"/>
      <c r="F582" s="28" t="n"/>
    </row>
    <row r="583">
      <c r="A583" s="27" t="n"/>
      <c r="B583" s="28" t="n"/>
      <c r="C583" s="28" t="n"/>
      <c r="D583" s="29" t="n"/>
      <c r="E583" s="28" t="n"/>
      <c r="F583" s="28" t="n"/>
    </row>
    <row r="584">
      <c r="A584" s="27" t="n"/>
      <c r="B584" s="28" t="n"/>
      <c r="C584" s="28" t="n"/>
      <c r="D584" s="29" t="n"/>
      <c r="E584" s="28" t="n"/>
      <c r="F584" s="28" t="n"/>
    </row>
    <row r="585">
      <c r="A585" s="27" t="n"/>
      <c r="B585" s="28" t="n"/>
      <c r="C585" s="28" t="n"/>
      <c r="D585" s="29" t="n"/>
      <c r="E585" s="28" t="n"/>
      <c r="F585" s="28" t="n"/>
    </row>
    <row r="586">
      <c r="A586" s="27" t="n"/>
      <c r="B586" s="28" t="n"/>
      <c r="C586" s="28" t="n"/>
      <c r="D586" s="29" t="n"/>
      <c r="E586" s="28" t="n"/>
      <c r="F586" s="28" t="n"/>
    </row>
    <row r="587">
      <c r="A587" s="27" t="n"/>
      <c r="B587" s="28" t="n"/>
      <c r="C587" s="28" t="n"/>
      <c r="D587" s="29" t="n"/>
      <c r="E587" s="28" t="n"/>
      <c r="F587" s="28" t="n"/>
    </row>
    <row r="588">
      <c r="A588" s="27" t="n"/>
      <c r="B588" s="28" t="n"/>
      <c r="C588" s="28" t="n"/>
      <c r="D588" s="29" t="n"/>
      <c r="E588" s="28" t="n"/>
      <c r="F588" s="28" t="n"/>
    </row>
    <row r="589">
      <c r="A589" s="27" t="n"/>
      <c r="B589" s="28" t="n"/>
      <c r="C589" s="28" t="n"/>
      <c r="D589" s="29" t="n"/>
      <c r="E589" s="28" t="n"/>
      <c r="F589" s="28" t="n"/>
    </row>
    <row r="590">
      <c r="A590" s="27" t="n"/>
      <c r="B590" s="28" t="n"/>
      <c r="C590" s="28" t="n"/>
      <c r="D590" s="29" t="n"/>
      <c r="E590" s="28" t="n"/>
      <c r="F590" s="28" t="n"/>
    </row>
    <row r="591">
      <c r="A591" s="27" t="n"/>
      <c r="B591" s="28" t="n"/>
      <c r="C591" s="28" t="n"/>
      <c r="D591" s="29" t="n"/>
      <c r="E591" s="28" t="n"/>
      <c r="F591" s="28" t="n"/>
    </row>
    <row r="592">
      <c r="A592" s="27" t="n"/>
      <c r="B592" s="28" t="n"/>
      <c r="C592" s="28" t="n"/>
      <c r="D592" s="29" t="n"/>
      <c r="E592" s="28" t="n"/>
      <c r="F592" s="28" t="n"/>
    </row>
    <row r="593">
      <c r="A593" s="27" t="n"/>
      <c r="B593" s="28" t="n"/>
      <c r="C593" s="28" t="n"/>
      <c r="D593" s="29" t="n"/>
      <c r="E593" s="28" t="n"/>
      <c r="F593" s="28" t="n"/>
    </row>
    <row r="594">
      <c r="A594" s="27" t="n"/>
      <c r="B594" s="28" t="n"/>
      <c r="C594" s="28" t="n"/>
      <c r="D594" s="29" t="n"/>
      <c r="E594" s="28" t="n"/>
      <c r="F594" s="28" t="n"/>
    </row>
    <row r="595">
      <c r="A595" s="27" t="n"/>
      <c r="B595" s="28" t="n"/>
      <c r="C595" s="28" t="n"/>
      <c r="D595" s="29" t="n"/>
      <c r="E595" s="28" t="n"/>
      <c r="F595" s="28" t="n"/>
    </row>
    <row r="596">
      <c r="A596" s="27" t="n"/>
      <c r="B596" s="28" t="n"/>
      <c r="C596" s="28" t="n"/>
      <c r="D596" s="29" t="n"/>
      <c r="E596" s="28" t="n"/>
      <c r="F596" s="28" t="n"/>
    </row>
    <row r="597">
      <c r="A597" s="27" t="n"/>
      <c r="B597" s="28" t="n"/>
      <c r="C597" s="28" t="n"/>
      <c r="D597" s="29" t="n"/>
      <c r="E597" s="28" t="n"/>
      <c r="F597" s="28" t="n"/>
    </row>
    <row r="598">
      <c r="A598" s="27" t="n"/>
      <c r="B598" s="28" t="n"/>
      <c r="C598" s="28" t="n"/>
      <c r="D598" s="29" t="n"/>
      <c r="E598" s="28" t="n"/>
      <c r="F598" s="28" t="n"/>
    </row>
    <row r="599">
      <c r="A599" s="27" t="n"/>
      <c r="B599" s="28" t="n"/>
      <c r="C599" s="28" t="n"/>
      <c r="D599" s="29" t="n"/>
      <c r="E599" s="28" t="n"/>
      <c r="F599" s="28" t="n"/>
    </row>
    <row r="600">
      <c r="A600" s="27" t="n"/>
      <c r="B600" s="28" t="n"/>
      <c r="C600" s="28" t="n"/>
      <c r="D600" s="29" t="n"/>
      <c r="E600" s="28" t="n"/>
      <c r="F600" s="28" t="n"/>
    </row>
    <row r="601">
      <c r="A601" s="27" t="n"/>
      <c r="B601" s="28" t="n"/>
      <c r="C601" s="28" t="n"/>
      <c r="D601" s="29" t="n"/>
      <c r="E601" s="28" t="n"/>
      <c r="F601" s="28" t="n"/>
    </row>
    <row r="602">
      <c r="A602" s="27" t="n"/>
      <c r="B602" s="28" t="n"/>
      <c r="C602" s="28" t="n"/>
      <c r="D602" s="29" t="n"/>
      <c r="E602" s="28" t="n"/>
      <c r="F602" s="28" t="n"/>
    </row>
    <row r="603">
      <c r="A603" s="27" t="n"/>
      <c r="B603" s="28" t="n"/>
      <c r="C603" s="28" t="n"/>
      <c r="D603" s="29" t="n"/>
      <c r="E603" s="28" t="n"/>
      <c r="F603" s="28" t="n"/>
    </row>
    <row r="604">
      <c r="A604" s="27" t="n"/>
      <c r="B604" s="28" t="n"/>
      <c r="C604" s="28" t="n"/>
      <c r="D604" s="29" t="n"/>
      <c r="E604" s="28" t="n"/>
      <c r="F604" s="28" t="n"/>
    </row>
    <row r="605">
      <c r="A605" s="27" t="n"/>
      <c r="B605" s="28" t="n"/>
      <c r="C605" s="28" t="n"/>
      <c r="D605" s="29" t="n"/>
      <c r="E605" s="28" t="n"/>
      <c r="F605" s="28" t="n"/>
    </row>
    <row r="606">
      <c r="A606" s="27" t="n"/>
      <c r="B606" s="28" t="n"/>
      <c r="C606" s="28" t="n"/>
      <c r="D606" s="29" t="n"/>
      <c r="E606" s="28" t="n"/>
      <c r="F606" s="28" t="n"/>
    </row>
    <row r="607">
      <c r="A607" s="27" t="n"/>
      <c r="B607" s="28" t="n"/>
      <c r="C607" s="28" t="n"/>
      <c r="D607" s="29" t="n"/>
      <c r="E607" s="28" t="n"/>
      <c r="F607" s="28" t="n"/>
    </row>
    <row r="608">
      <c r="A608" s="27" t="n"/>
      <c r="B608" s="28" t="n"/>
      <c r="C608" s="28" t="n"/>
      <c r="D608" s="29" t="n"/>
      <c r="E608" s="28" t="n"/>
      <c r="F608" s="28" t="n"/>
    </row>
    <row r="609">
      <c r="A609" s="27" t="n"/>
      <c r="B609" s="28" t="n"/>
      <c r="C609" s="28" t="n"/>
      <c r="D609" s="29" t="n"/>
      <c r="E609" s="28" t="n"/>
      <c r="F609" s="28" t="n"/>
    </row>
    <row r="610">
      <c r="A610" s="27" t="n"/>
      <c r="B610" s="28" t="n"/>
      <c r="C610" s="28" t="n"/>
      <c r="D610" s="29" t="n"/>
      <c r="E610" s="28" t="n"/>
      <c r="F610" s="28" t="n"/>
    </row>
    <row r="611">
      <c r="A611" s="27" t="n"/>
      <c r="B611" s="28" t="n"/>
      <c r="C611" s="28" t="n"/>
      <c r="D611" s="29" t="n"/>
      <c r="E611" s="28" t="n"/>
      <c r="F611" s="28" t="n"/>
    </row>
    <row r="612">
      <c r="A612" s="27" t="n"/>
      <c r="B612" s="28" t="n"/>
      <c r="C612" s="28" t="n"/>
      <c r="D612" s="29" t="n"/>
      <c r="E612" s="28" t="n"/>
      <c r="F612" s="28" t="n"/>
    </row>
    <row r="613">
      <c r="A613" s="27" t="n"/>
      <c r="B613" s="28" t="n"/>
      <c r="C613" s="28" t="n"/>
      <c r="D613" s="29" t="n"/>
      <c r="E613" s="28" t="n"/>
      <c r="F613" s="28" t="n"/>
    </row>
    <row r="614">
      <c r="A614" s="27" t="n"/>
      <c r="B614" s="28" t="n"/>
      <c r="C614" s="28" t="n"/>
      <c r="D614" s="29" t="n"/>
      <c r="E614" s="28" t="n"/>
      <c r="F614" s="28" t="n"/>
    </row>
    <row r="615">
      <c r="A615" s="27" t="n"/>
      <c r="B615" s="28" t="n"/>
      <c r="C615" s="28" t="n"/>
      <c r="D615" s="29" t="n"/>
      <c r="E615" s="28" t="n"/>
      <c r="F615" s="28" t="n"/>
    </row>
    <row r="616">
      <c r="A616" s="27" t="n"/>
      <c r="B616" s="28" t="n"/>
      <c r="C616" s="28" t="n"/>
      <c r="D616" s="29" t="n"/>
      <c r="E616" s="28" t="n"/>
      <c r="F616" s="28" t="n"/>
    </row>
    <row r="617">
      <c r="A617" s="27" t="n"/>
      <c r="B617" s="28" t="n"/>
      <c r="C617" s="28" t="n"/>
      <c r="D617" s="29" t="n"/>
      <c r="E617" s="28" t="n"/>
      <c r="F617" s="28" t="n"/>
    </row>
    <row r="618">
      <c r="A618" s="27" t="n"/>
      <c r="B618" s="28" t="n"/>
      <c r="C618" s="28" t="n"/>
      <c r="D618" s="29" t="n"/>
      <c r="E618" s="28" t="n"/>
      <c r="F618" s="28" t="n"/>
    </row>
    <row r="619">
      <c r="A619" s="27" t="n"/>
      <c r="B619" s="28" t="n"/>
      <c r="C619" s="28" t="n"/>
      <c r="D619" s="29" t="n"/>
      <c r="E619" s="28" t="n"/>
      <c r="F619" s="28" t="n"/>
    </row>
    <row r="620">
      <c r="A620" s="27" t="n"/>
      <c r="B620" s="28" t="n"/>
      <c r="C620" s="28" t="n"/>
      <c r="D620" s="29" t="n"/>
      <c r="E620" s="28" t="n"/>
      <c r="F620" s="28" t="n"/>
    </row>
    <row r="621">
      <c r="A621" s="27" t="n"/>
      <c r="B621" s="28" t="n"/>
      <c r="C621" s="28" t="n"/>
      <c r="D621" s="29" t="n"/>
      <c r="E621" s="28" t="n"/>
      <c r="F621" s="28" t="n"/>
    </row>
    <row r="622">
      <c r="A622" s="27" t="n"/>
      <c r="B622" s="28" t="n"/>
      <c r="C622" s="28" t="n"/>
      <c r="D622" s="29" t="n"/>
      <c r="E622" s="28" t="n"/>
      <c r="F622" s="28" t="n"/>
    </row>
    <row r="623">
      <c r="A623" s="27" t="n"/>
      <c r="B623" s="28" t="n"/>
      <c r="C623" s="28" t="n"/>
      <c r="D623" s="29" t="n"/>
      <c r="E623" s="28" t="n"/>
      <c r="F623" s="28" t="n"/>
    </row>
    <row r="624">
      <c r="A624" s="27" t="n"/>
      <c r="B624" s="28" t="n"/>
      <c r="C624" s="28" t="n"/>
      <c r="D624" s="29" t="n"/>
      <c r="E624" s="28" t="n"/>
      <c r="F624" s="28" t="n"/>
    </row>
    <row r="625">
      <c r="A625" s="27" t="n"/>
      <c r="B625" s="28" t="n"/>
      <c r="C625" s="28" t="n"/>
      <c r="D625" s="29" t="n"/>
      <c r="E625" s="28" t="n"/>
      <c r="F625" s="28" t="n"/>
    </row>
    <row r="626">
      <c r="A626" s="27" t="n"/>
      <c r="B626" s="28" t="n"/>
      <c r="C626" s="28" t="n"/>
      <c r="D626" s="29" t="n"/>
      <c r="E626" s="28" t="n"/>
      <c r="F626" s="28" t="n"/>
    </row>
    <row r="627">
      <c r="A627" s="27" t="n"/>
      <c r="B627" s="28" t="n"/>
      <c r="C627" s="28" t="n"/>
      <c r="D627" s="29" t="n"/>
      <c r="E627" s="28" t="n"/>
      <c r="F627" s="28" t="n"/>
    </row>
    <row r="628">
      <c r="A628" s="27" t="n"/>
      <c r="B628" s="28" t="n"/>
      <c r="C628" s="28" t="n"/>
      <c r="D628" s="29" t="n"/>
      <c r="E628" s="28" t="n"/>
      <c r="F628" s="28" t="n"/>
    </row>
    <row r="629">
      <c r="A629" s="27" t="n"/>
      <c r="B629" s="28" t="n"/>
      <c r="C629" s="28" t="n"/>
      <c r="D629" s="29" t="n"/>
      <c r="E629" s="28" t="n"/>
      <c r="F629" s="28" t="n"/>
    </row>
    <row r="630">
      <c r="A630" s="27" t="n"/>
      <c r="B630" s="28" t="n"/>
      <c r="C630" s="28" t="n"/>
      <c r="D630" s="29" t="n"/>
      <c r="E630" s="28" t="n"/>
      <c r="F630" s="28" t="n"/>
    </row>
    <row r="631">
      <c r="A631" s="27" t="n"/>
      <c r="B631" s="28" t="n"/>
      <c r="C631" s="28" t="n"/>
      <c r="D631" s="29" t="n"/>
      <c r="E631" s="28" t="n"/>
      <c r="F631" s="28" t="n"/>
    </row>
    <row r="632">
      <c r="A632" s="27" t="n"/>
      <c r="B632" s="28" t="n"/>
      <c r="C632" s="28" t="n"/>
      <c r="D632" s="29" t="n"/>
      <c r="E632" s="28" t="n"/>
      <c r="F632" s="28" t="n"/>
    </row>
    <row r="633">
      <c r="A633" s="27" t="n"/>
      <c r="B633" s="28" t="n"/>
      <c r="C633" s="28" t="n"/>
      <c r="D633" s="29" t="n"/>
      <c r="E633" s="28" t="n"/>
      <c r="F633" s="28" t="n"/>
    </row>
    <row r="634">
      <c r="A634" s="27" t="n"/>
      <c r="B634" s="28" t="n"/>
      <c r="C634" s="28" t="n"/>
      <c r="D634" s="29" t="n"/>
      <c r="E634" s="28" t="n"/>
      <c r="F634" s="28" t="n"/>
    </row>
    <row r="635">
      <c r="A635" s="27" t="n"/>
      <c r="B635" s="28" t="n"/>
      <c r="C635" s="28" t="n"/>
      <c r="D635" s="29" t="n"/>
      <c r="E635" s="28" t="n"/>
      <c r="F635" s="28" t="n"/>
    </row>
    <row r="636">
      <c r="A636" s="27" t="n"/>
      <c r="B636" s="28" t="n"/>
      <c r="C636" s="28" t="n"/>
      <c r="D636" s="29" t="n"/>
      <c r="E636" s="28" t="n"/>
      <c r="F636" s="28" t="n"/>
    </row>
    <row r="637">
      <c r="A637" s="27" t="n"/>
      <c r="B637" s="28" t="n"/>
      <c r="C637" s="28" t="n"/>
      <c r="D637" s="29" t="n"/>
      <c r="E637" s="28" t="n"/>
      <c r="F637" s="28" t="n"/>
    </row>
    <row r="638">
      <c r="A638" s="27" t="n"/>
      <c r="B638" s="28" t="n"/>
      <c r="C638" s="28" t="n"/>
      <c r="D638" s="29" t="n"/>
      <c r="E638" s="28" t="n"/>
      <c r="F638" s="28" t="n"/>
    </row>
    <row r="639">
      <c r="A639" s="27" t="n"/>
      <c r="B639" s="28" t="n"/>
      <c r="C639" s="28" t="n"/>
      <c r="D639" s="29" t="n"/>
      <c r="E639" s="28" t="n"/>
      <c r="F639" s="28" t="n"/>
    </row>
    <row r="640">
      <c r="A640" s="27" t="n"/>
      <c r="B640" s="28" t="n"/>
      <c r="C640" s="28" t="n"/>
      <c r="D640" s="29" t="n"/>
      <c r="E640" s="28" t="n"/>
      <c r="F640" s="28" t="n"/>
    </row>
    <row r="641">
      <c r="A641" s="27" t="n"/>
      <c r="B641" s="28" t="n"/>
      <c r="C641" s="28" t="n"/>
      <c r="D641" s="29" t="n"/>
      <c r="E641" s="28" t="n"/>
      <c r="F641" s="28" t="n"/>
    </row>
    <row r="642">
      <c r="A642" s="27" t="n"/>
      <c r="B642" s="28" t="n"/>
      <c r="C642" s="28" t="n"/>
      <c r="D642" s="29" t="n"/>
      <c r="E642" s="28" t="n"/>
      <c r="F642" s="28" t="n"/>
    </row>
    <row r="643">
      <c r="A643" s="27" t="n"/>
      <c r="B643" s="28" t="n"/>
      <c r="C643" s="28" t="n"/>
      <c r="D643" s="29" t="n"/>
      <c r="E643" s="28" t="n"/>
      <c r="F643" s="28" t="n"/>
    </row>
    <row r="644">
      <c r="A644" s="27" t="n"/>
      <c r="B644" s="28" t="n"/>
      <c r="C644" s="28" t="n"/>
      <c r="D644" s="29" t="n"/>
      <c r="E644" s="28" t="n"/>
      <c r="F644" s="28" t="n"/>
    </row>
    <row r="645">
      <c r="A645" s="27" t="n"/>
      <c r="B645" s="28" t="n"/>
      <c r="C645" s="28" t="n"/>
      <c r="D645" s="29" t="n"/>
      <c r="E645" s="28" t="n"/>
      <c r="F645" s="28" t="n"/>
    </row>
    <row r="646">
      <c r="A646" s="27" t="n"/>
      <c r="B646" s="28" t="n"/>
      <c r="C646" s="28" t="n"/>
      <c r="D646" s="29" t="n"/>
      <c r="E646" s="28" t="n"/>
      <c r="F646" s="28" t="n"/>
    </row>
    <row r="647">
      <c r="A647" s="27" t="n"/>
      <c r="B647" s="28" t="n"/>
      <c r="C647" s="28" t="n"/>
      <c r="D647" s="29" t="n"/>
      <c r="E647" s="28" t="n"/>
      <c r="F647" s="28" t="n"/>
    </row>
    <row r="648">
      <c r="A648" s="27" t="n"/>
      <c r="B648" s="28" t="n"/>
      <c r="C648" s="28" t="n"/>
      <c r="D648" s="29" t="n"/>
      <c r="E648" s="28" t="n"/>
      <c r="F648" s="28" t="n"/>
    </row>
    <row r="649">
      <c r="A649" s="27" t="n"/>
      <c r="B649" s="28" t="n"/>
      <c r="C649" s="28" t="n"/>
      <c r="D649" s="29" t="n"/>
      <c r="E649" s="28" t="n"/>
      <c r="F649" s="28" t="n"/>
    </row>
    <row r="650">
      <c r="A650" s="27" t="n"/>
      <c r="B650" s="28" t="n"/>
      <c r="C650" s="28" t="n"/>
      <c r="D650" s="29" t="n"/>
      <c r="E650" s="28" t="n"/>
      <c r="F650" s="28" t="n"/>
    </row>
    <row r="651">
      <c r="A651" s="27" t="n"/>
      <c r="B651" s="28" t="n"/>
      <c r="C651" s="28" t="n"/>
      <c r="D651" s="29" t="n"/>
      <c r="E651" s="28" t="n"/>
      <c r="F651" s="28" t="n"/>
    </row>
    <row r="652">
      <c r="A652" s="27" t="n"/>
      <c r="B652" s="28" t="n"/>
      <c r="C652" s="28" t="n"/>
      <c r="D652" s="29" t="n"/>
      <c r="E652" s="28" t="n"/>
      <c r="F652" s="28" t="n"/>
    </row>
    <row r="653">
      <c r="A653" s="27" t="n"/>
      <c r="B653" s="28" t="n"/>
      <c r="C653" s="28" t="n"/>
      <c r="D653" s="29" t="n"/>
      <c r="E653" s="28" t="n"/>
      <c r="F653" s="28" t="n"/>
    </row>
    <row r="654">
      <c r="A654" s="27" t="n"/>
      <c r="B654" s="28" t="n"/>
      <c r="C654" s="28" t="n"/>
      <c r="D654" s="29" t="n"/>
      <c r="E654" s="28" t="n"/>
      <c r="F654" s="28" t="n"/>
    </row>
    <row r="655">
      <c r="A655" s="27" t="n"/>
      <c r="B655" s="28" t="n"/>
      <c r="C655" s="28" t="n"/>
      <c r="D655" s="29" t="n"/>
      <c r="E655" s="28" t="n"/>
      <c r="F655" s="28" t="n"/>
    </row>
    <row r="656">
      <c r="A656" s="27" t="n"/>
      <c r="B656" s="28" t="n"/>
      <c r="C656" s="28" t="n"/>
      <c r="D656" s="29" t="n"/>
      <c r="E656" s="28" t="n"/>
      <c r="F656" s="28" t="n"/>
    </row>
    <row r="657">
      <c r="A657" s="27" t="n"/>
      <c r="B657" s="28" t="n"/>
      <c r="C657" s="28" t="n"/>
      <c r="D657" s="29" t="n"/>
      <c r="E657" s="28" t="n"/>
      <c r="F657" s="28" t="n"/>
    </row>
    <row r="658">
      <c r="A658" s="27" t="n"/>
      <c r="B658" s="28" t="n"/>
      <c r="C658" s="28" t="n"/>
      <c r="D658" s="29" t="n"/>
      <c r="E658" s="28" t="n"/>
      <c r="F658" s="28" t="n"/>
    </row>
    <row r="659">
      <c r="A659" s="27" t="n"/>
      <c r="B659" s="28" t="n"/>
      <c r="C659" s="28" t="n"/>
      <c r="D659" s="29" t="n"/>
      <c r="E659" s="28" t="n"/>
      <c r="F659" s="28" t="n"/>
    </row>
    <row r="660">
      <c r="A660" s="27" t="n"/>
      <c r="B660" s="28" t="n"/>
      <c r="C660" s="28" t="n"/>
      <c r="D660" s="29" t="n"/>
      <c r="E660" s="28" t="n"/>
      <c r="F660" s="28" t="n"/>
    </row>
    <row r="661">
      <c r="A661" s="27" t="n"/>
      <c r="B661" s="28" t="n"/>
      <c r="C661" s="28" t="n"/>
      <c r="D661" s="29" t="n"/>
      <c r="E661" s="28" t="n"/>
      <c r="F661" s="28" t="n"/>
    </row>
    <row r="662">
      <c r="A662" s="27" t="n"/>
      <c r="B662" s="28" t="n"/>
      <c r="C662" s="28" t="n"/>
      <c r="D662" s="29" t="n"/>
      <c r="E662" s="28" t="n"/>
      <c r="F662" s="28" t="n"/>
    </row>
    <row r="663">
      <c r="A663" s="27" t="n"/>
      <c r="B663" s="28" t="n"/>
      <c r="C663" s="28" t="n"/>
      <c r="D663" s="29" t="n"/>
      <c r="E663" s="28" t="n"/>
      <c r="F663" s="28" t="n"/>
    </row>
    <row r="664">
      <c r="A664" s="27" t="n"/>
      <c r="B664" s="28" t="n"/>
      <c r="C664" s="28" t="n"/>
      <c r="D664" s="29" t="n"/>
      <c r="E664" s="28" t="n"/>
      <c r="F664" s="28" t="n"/>
    </row>
    <row r="665">
      <c r="A665" s="27" t="n"/>
      <c r="B665" s="28" t="n"/>
      <c r="C665" s="28" t="n"/>
      <c r="D665" s="29" t="n"/>
      <c r="E665" s="28" t="n"/>
      <c r="F665" s="28" t="n"/>
    </row>
    <row r="666">
      <c r="A666" s="27" t="n"/>
      <c r="B666" s="28" t="n"/>
      <c r="C666" s="28" t="n"/>
      <c r="D666" s="29" t="n"/>
      <c r="E666" s="28" t="n"/>
      <c r="F666" s="28" t="n"/>
    </row>
    <row r="667">
      <c r="A667" s="27" t="n"/>
      <c r="B667" s="28" t="n"/>
      <c r="C667" s="28" t="n"/>
      <c r="D667" s="29" t="n"/>
      <c r="E667" s="28" t="n"/>
      <c r="F667" s="28" t="n"/>
    </row>
    <row r="668">
      <c r="A668" s="27" t="n"/>
      <c r="B668" s="28" t="n"/>
      <c r="C668" s="28" t="n"/>
      <c r="D668" s="29" t="n"/>
      <c r="E668" s="28" t="n"/>
      <c r="F668" s="28" t="n"/>
    </row>
    <row r="669">
      <c r="A669" s="27" t="n"/>
      <c r="B669" s="28" t="n"/>
      <c r="C669" s="28" t="n"/>
      <c r="D669" s="29" t="n"/>
      <c r="E669" s="28" t="n"/>
      <c r="F669" s="28" t="n"/>
    </row>
    <row r="670">
      <c r="A670" s="27" t="n"/>
      <c r="B670" s="28" t="n"/>
      <c r="C670" s="28" t="n"/>
      <c r="D670" s="29" t="n"/>
      <c r="E670" s="28" t="n"/>
      <c r="F670" s="28" t="n"/>
    </row>
    <row r="671">
      <c r="A671" s="27" t="n"/>
      <c r="B671" s="28" t="n"/>
      <c r="C671" s="28" t="n"/>
      <c r="D671" s="29" t="n"/>
      <c r="E671" s="28" t="n"/>
      <c r="F671" s="28" t="n"/>
    </row>
    <row r="672">
      <c r="A672" s="27" t="n"/>
      <c r="B672" s="28" t="n"/>
      <c r="C672" s="28" t="n"/>
      <c r="D672" s="29" t="n"/>
      <c r="E672" s="28" t="n"/>
      <c r="F672" s="28" t="n"/>
    </row>
    <row r="673">
      <c r="A673" s="27" t="n"/>
      <c r="B673" s="28" t="n"/>
      <c r="C673" s="28" t="n"/>
      <c r="D673" s="29" t="n"/>
      <c r="E673" s="28" t="n"/>
      <c r="F673" s="28" t="n"/>
    </row>
    <row r="674">
      <c r="A674" s="27" t="n"/>
      <c r="B674" s="28" t="n"/>
      <c r="C674" s="28" t="n"/>
      <c r="D674" s="29" t="n"/>
      <c r="E674" s="28" t="n"/>
      <c r="F674" s="28" t="n"/>
    </row>
    <row r="675">
      <c r="A675" s="27" t="n"/>
      <c r="B675" s="28" t="n"/>
      <c r="C675" s="28" t="n"/>
      <c r="D675" s="29" t="n"/>
      <c r="E675" s="28" t="n"/>
      <c r="F675" s="28" t="n"/>
    </row>
    <row r="676">
      <c r="A676" s="27" t="n"/>
      <c r="B676" s="28" t="n"/>
      <c r="C676" s="28" t="n"/>
      <c r="D676" s="29" t="n"/>
      <c r="E676" s="28" t="n"/>
      <c r="F676" s="28" t="n"/>
    </row>
    <row r="677">
      <c r="A677" s="27" t="n"/>
      <c r="B677" s="28" t="n"/>
      <c r="C677" s="28" t="n"/>
      <c r="D677" s="29" t="n"/>
      <c r="E677" s="28" t="n"/>
      <c r="F677" s="28" t="n"/>
    </row>
    <row r="678">
      <c r="A678" s="27" t="n"/>
      <c r="B678" s="28" t="n"/>
      <c r="C678" s="28" t="n"/>
      <c r="D678" s="29" t="n"/>
      <c r="E678" s="28" t="n"/>
      <c r="F678" s="28" t="n"/>
    </row>
    <row r="679">
      <c r="A679" s="27" t="n"/>
      <c r="B679" s="28" t="n"/>
      <c r="C679" s="28" t="n"/>
      <c r="D679" s="29" t="n"/>
      <c r="E679" s="28" t="n"/>
      <c r="F679" s="28" t="n"/>
    </row>
    <row r="680">
      <c r="A680" s="27" t="n"/>
      <c r="B680" s="28" t="n"/>
      <c r="C680" s="28" t="n"/>
      <c r="D680" s="29" t="n"/>
      <c r="E680" s="28" t="n"/>
      <c r="F680" s="28" t="n"/>
    </row>
    <row r="681">
      <c r="A681" s="27" t="n"/>
      <c r="B681" s="28" t="n"/>
      <c r="C681" s="28" t="n"/>
      <c r="D681" s="29" t="n"/>
      <c r="E681" s="28" t="n"/>
      <c r="F681" s="28" t="n"/>
    </row>
    <row r="682">
      <c r="A682" s="27" t="n"/>
      <c r="B682" s="28" t="n"/>
      <c r="C682" s="28" t="n"/>
      <c r="D682" s="29" t="n"/>
      <c r="E682" s="28" t="n"/>
      <c r="F682" s="28" t="n"/>
    </row>
    <row r="683">
      <c r="A683" s="27" t="n"/>
      <c r="B683" s="28" t="n"/>
      <c r="C683" s="28" t="n"/>
      <c r="D683" s="29" t="n"/>
      <c r="E683" s="28" t="n"/>
      <c r="F683" s="28" t="n"/>
    </row>
    <row r="684">
      <c r="A684" s="27" t="n"/>
      <c r="B684" s="28" t="n"/>
      <c r="C684" s="28" t="n"/>
      <c r="D684" s="29" t="n"/>
      <c r="E684" s="28" t="n"/>
      <c r="F684" s="28" t="n"/>
    </row>
    <row r="685">
      <c r="A685" s="27" t="n"/>
      <c r="B685" s="28" t="n"/>
      <c r="C685" s="28" t="n"/>
      <c r="D685" s="29" t="n"/>
      <c r="E685" s="28" t="n"/>
      <c r="F685" s="28" t="n"/>
    </row>
    <row r="686">
      <c r="A686" s="27" t="n"/>
      <c r="B686" s="28" t="n"/>
      <c r="C686" s="28" t="n"/>
      <c r="D686" s="29" t="n"/>
      <c r="E686" s="28" t="n"/>
      <c r="F686" s="28" t="n"/>
    </row>
    <row r="687">
      <c r="A687" s="27" t="n"/>
      <c r="B687" s="28" t="n"/>
      <c r="C687" s="28" t="n"/>
      <c r="D687" s="29" t="n"/>
      <c r="E687" s="28" t="n"/>
      <c r="F687" s="28" t="n"/>
    </row>
    <row r="688">
      <c r="A688" s="27" t="n"/>
      <c r="B688" s="28" t="n"/>
      <c r="C688" s="28" t="n"/>
      <c r="D688" s="29" t="n"/>
      <c r="E688" s="28" t="n"/>
      <c r="F688" s="28" t="n"/>
    </row>
    <row r="689">
      <c r="A689" s="27" t="n"/>
      <c r="B689" s="28" t="n"/>
      <c r="C689" s="28" t="n"/>
      <c r="D689" s="29" t="n"/>
      <c r="E689" s="28" t="n"/>
      <c r="F689" s="28" t="n"/>
    </row>
    <row r="690">
      <c r="A690" s="27" t="n"/>
      <c r="B690" s="28" t="n"/>
      <c r="C690" s="28" t="n"/>
      <c r="D690" s="29" t="n"/>
      <c r="E690" s="28" t="n"/>
      <c r="F690" s="28" t="n"/>
    </row>
    <row r="691">
      <c r="A691" s="27" t="n"/>
      <c r="B691" s="28" t="n"/>
      <c r="C691" s="28" t="n"/>
      <c r="D691" s="29" t="n"/>
      <c r="E691" s="28" t="n"/>
      <c r="F691" s="28" t="n"/>
    </row>
    <row r="692">
      <c r="A692" s="27" t="n"/>
      <c r="B692" s="28" t="n"/>
      <c r="C692" s="28" t="n"/>
      <c r="D692" s="29" t="n"/>
      <c r="E692" s="28" t="n"/>
      <c r="F692" s="28" t="n"/>
    </row>
    <row r="693">
      <c r="A693" s="27" t="n"/>
      <c r="B693" s="28" t="n"/>
      <c r="C693" s="28" t="n"/>
      <c r="D693" s="29" t="n"/>
      <c r="E693" s="28" t="n"/>
      <c r="F693" s="28" t="n"/>
    </row>
    <row r="694">
      <c r="A694" s="27" t="n"/>
      <c r="B694" s="28" t="n"/>
      <c r="C694" s="28" t="n"/>
      <c r="D694" s="29" t="n"/>
      <c r="E694" s="28" t="n"/>
      <c r="F694" s="28" t="n"/>
    </row>
    <row r="695">
      <c r="A695" s="27" t="n"/>
      <c r="B695" s="28" t="n"/>
      <c r="C695" s="28" t="n"/>
      <c r="D695" s="29" t="n"/>
      <c r="E695" s="28" t="n"/>
      <c r="F695" s="28" t="n"/>
    </row>
    <row r="696">
      <c r="A696" s="27" t="n"/>
      <c r="B696" s="28" t="n"/>
      <c r="C696" s="28" t="n"/>
      <c r="D696" s="29" t="n"/>
      <c r="E696" s="28" t="n"/>
      <c r="F696" s="28" t="n"/>
    </row>
    <row r="697">
      <c r="A697" s="27" t="n"/>
      <c r="B697" s="28" t="n"/>
      <c r="C697" s="28" t="n"/>
      <c r="D697" s="29" t="n"/>
      <c r="E697" s="28" t="n"/>
      <c r="F697" s="28" t="n"/>
    </row>
    <row r="698">
      <c r="A698" s="27" t="n"/>
      <c r="B698" s="28" t="n"/>
      <c r="C698" s="28" t="n"/>
      <c r="D698" s="29" t="n"/>
      <c r="E698" s="28" t="n"/>
      <c r="F698" s="28" t="n"/>
    </row>
    <row r="699">
      <c r="A699" s="27" t="n"/>
      <c r="B699" s="28" t="n"/>
      <c r="C699" s="28" t="n"/>
      <c r="D699" s="29" t="n"/>
      <c r="E699" s="28" t="n"/>
      <c r="F699" s="28" t="n"/>
    </row>
    <row r="700">
      <c r="A700" s="27" t="n"/>
      <c r="B700" s="28" t="n"/>
      <c r="C700" s="28" t="n"/>
      <c r="D700" s="29" t="n"/>
      <c r="E700" s="28" t="n"/>
      <c r="F700" s="28" t="n"/>
    </row>
    <row r="701">
      <c r="A701" s="27" t="n"/>
      <c r="B701" s="28" t="n"/>
      <c r="C701" s="28" t="n"/>
      <c r="D701" s="29" t="n"/>
      <c r="E701" s="28" t="n"/>
      <c r="F701" s="28" t="n"/>
    </row>
    <row r="702">
      <c r="A702" s="27" t="n"/>
      <c r="B702" s="28" t="n"/>
      <c r="C702" s="28" t="n"/>
      <c r="D702" s="29" t="n"/>
      <c r="E702" s="28" t="n"/>
      <c r="F702" s="28" t="n"/>
    </row>
    <row r="703">
      <c r="A703" s="27" t="n"/>
      <c r="B703" s="28" t="n"/>
      <c r="C703" s="28" t="n"/>
      <c r="D703" s="29" t="n"/>
      <c r="E703" s="28" t="n"/>
      <c r="F703" s="28" t="n"/>
    </row>
    <row r="704">
      <c r="A704" s="27" t="n"/>
      <c r="B704" s="28" t="n"/>
      <c r="C704" s="28" t="n"/>
      <c r="D704" s="29" t="n"/>
      <c r="E704" s="28" t="n"/>
      <c r="F704" s="28" t="n"/>
    </row>
    <row r="705">
      <c r="A705" s="27" t="n"/>
      <c r="B705" s="28" t="n"/>
      <c r="C705" s="28" t="n"/>
      <c r="D705" s="29" t="n"/>
      <c r="E705" s="28" t="n"/>
      <c r="F705" s="28" t="n"/>
    </row>
    <row r="706">
      <c r="A706" s="27" t="n"/>
      <c r="B706" s="28" t="n"/>
      <c r="C706" s="28" t="n"/>
      <c r="D706" s="29" t="n"/>
      <c r="E706" s="28" t="n"/>
      <c r="F706" s="28" t="n"/>
    </row>
    <row r="707">
      <c r="A707" s="27" t="n"/>
      <c r="B707" s="28" t="n"/>
      <c r="C707" s="28" t="n"/>
      <c r="D707" s="29" t="n"/>
      <c r="E707" s="28" t="n"/>
      <c r="F707" s="28" t="n"/>
    </row>
    <row r="708">
      <c r="A708" s="27" t="n"/>
      <c r="B708" s="28" t="n"/>
      <c r="C708" s="28" t="n"/>
      <c r="D708" s="29" t="n"/>
      <c r="E708" s="28" t="n"/>
      <c r="F708" s="28" t="n"/>
    </row>
    <row r="709">
      <c r="A709" s="27" t="n"/>
      <c r="B709" s="28" t="n"/>
      <c r="C709" s="28" t="n"/>
      <c r="D709" s="29" t="n"/>
      <c r="E709" s="28" t="n"/>
      <c r="F709" s="28" t="n"/>
    </row>
    <row r="710">
      <c r="A710" s="27" t="n"/>
      <c r="B710" s="28" t="n"/>
      <c r="C710" s="28" t="n"/>
      <c r="D710" s="29" t="n"/>
      <c r="E710" s="28" t="n"/>
      <c r="F710" s="28" t="n"/>
    </row>
    <row r="711">
      <c r="A711" s="27" t="n"/>
      <c r="B711" s="28" t="n"/>
      <c r="C711" s="28" t="n"/>
      <c r="D711" s="29" t="n"/>
      <c r="E711" s="28" t="n"/>
      <c r="F711" s="28" t="n"/>
    </row>
    <row r="712">
      <c r="A712" s="27" t="n"/>
      <c r="B712" s="28" t="n"/>
      <c r="C712" s="28" t="n"/>
      <c r="D712" s="29" t="n"/>
      <c r="E712" s="28" t="n"/>
      <c r="F712" s="28" t="n"/>
    </row>
    <row r="713">
      <c r="A713" s="27" t="n"/>
      <c r="B713" s="28" t="n"/>
      <c r="C713" s="28" t="n"/>
      <c r="D713" s="29" t="n"/>
      <c r="E713" s="28" t="n"/>
      <c r="F713" s="28" t="n"/>
    </row>
    <row r="714">
      <c r="A714" s="27" t="n"/>
      <c r="B714" s="28" t="n"/>
      <c r="C714" s="28" t="n"/>
      <c r="D714" s="29" t="n"/>
      <c r="E714" s="28" t="n"/>
      <c r="F714" s="28" t="n"/>
    </row>
    <row r="715">
      <c r="A715" s="27" t="n"/>
      <c r="B715" s="28" t="n"/>
      <c r="C715" s="28" t="n"/>
      <c r="D715" s="29" t="n"/>
      <c r="E715" s="28" t="n"/>
      <c r="F715" s="28" t="n"/>
    </row>
    <row r="716">
      <c r="A716" s="27" t="n"/>
      <c r="B716" s="28" t="n"/>
      <c r="C716" s="28" t="n"/>
      <c r="D716" s="29" t="n"/>
      <c r="E716" s="28" t="n"/>
      <c r="F716" s="28" t="n"/>
    </row>
    <row r="717">
      <c r="A717" s="27" t="n"/>
      <c r="B717" s="28" t="n"/>
      <c r="C717" s="28" t="n"/>
      <c r="D717" s="29" t="n"/>
      <c r="E717" s="28" t="n"/>
      <c r="F717" s="28" t="n"/>
    </row>
    <row r="718">
      <c r="A718" s="27" t="n"/>
      <c r="B718" s="28" t="n"/>
      <c r="C718" s="28" t="n"/>
      <c r="D718" s="29" t="n"/>
      <c r="E718" s="28" t="n"/>
      <c r="F718" s="28" t="n"/>
    </row>
    <row r="719">
      <c r="A719" s="27" t="n"/>
      <c r="B719" s="28" t="n"/>
      <c r="C719" s="28" t="n"/>
      <c r="D719" s="29" t="n"/>
      <c r="E719" s="28" t="n"/>
      <c r="F719" s="28" t="n"/>
    </row>
    <row r="720">
      <c r="A720" s="27" t="n"/>
      <c r="B720" s="28" t="n"/>
      <c r="C720" s="28" t="n"/>
      <c r="D720" s="29" t="n"/>
      <c r="E720" s="28" t="n"/>
      <c r="F720" s="28" t="n"/>
    </row>
    <row r="721">
      <c r="A721" s="27" t="n"/>
      <c r="B721" s="28" t="n"/>
      <c r="C721" s="28" t="n"/>
      <c r="D721" s="29" t="n"/>
      <c r="E721" s="28" t="n"/>
      <c r="F721" s="28" t="n"/>
    </row>
    <row r="722">
      <c r="A722" s="27" t="n"/>
      <c r="B722" s="28" t="n"/>
      <c r="C722" s="28" t="n"/>
      <c r="D722" s="29" t="n"/>
      <c r="E722" s="28" t="n"/>
      <c r="F722" s="28" t="n"/>
    </row>
    <row r="723">
      <c r="A723" s="27" t="n"/>
      <c r="B723" s="28" t="n"/>
      <c r="C723" s="28" t="n"/>
      <c r="D723" s="29" t="n"/>
      <c r="E723" s="28" t="n"/>
      <c r="F723" s="28" t="n"/>
    </row>
    <row r="724">
      <c r="A724" s="27" t="n"/>
      <c r="B724" s="28" t="n"/>
      <c r="C724" s="28" t="n"/>
      <c r="D724" s="29" t="n"/>
      <c r="E724" s="28" t="n"/>
      <c r="F724" s="28" t="n"/>
    </row>
    <row r="725">
      <c r="A725" s="27" t="n"/>
      <c r="B725" s="28" t="n"/>
      <c r="C725" s="28" t="n"/>
      <c r="D725" s="29" t="n"/>
      <c r="E725" s="28" t="n"/>
      <c r="F725" s="28" t="n"/>
    </row>
    <row r="726">
      <c r="A726" s="27" t="n"/>
      <c r="B726" s="28" t="n"/>
      <c r="C726" s="28" t="n"/>
      <c r="D726" s="29" t="n"/>
      <c r="E726" s="28" t="n"/>
      <c r="F726" s="28" t="n"/>
    </row>
    <row r="727">
      <c r="A727" s="27" t="n"/>
      <c r="B727" s="28" t="n"/>
      <c r="C727" s="28" t="n"/>
      <c r="D727" s="29" t="n"/>
      <c r="E727" s="28" t="n"/>
      <c r="F727" s="28" t="n"/>
    </row>
    <row r="728">
      <c r="A728" s="27" t="n"/>
      <c r="B728" s="28" t="n"/>
      <c r="C728" s="28" t="n"/>
      <c r="D728" s="29" t="n"/>
      <c r="E728" s="28" t="n"/>
      <c r="F728" s="28" t="n"/>
    </row>
    <row r="729">
      <c r="A729" s="27" t="n"/>
      <c r="B729" s="28" t="n"/>
      <c r="C729" s="28" t="n"/>
      <c r="D729" s="29" t="n"/>
      <c r="E729" s="28" t="n"/>
      <c r="F729" s="28" t="n"/>
    </row>
    <row r="730">
      <c r="A730" s="27" t="n"/>
      <c r="B730" s="28" t="n"/>
      <c r="C730" s="28" t="n"/>
      <c r="D730" s="29" t="n"/>
      <c r="E730" s="28" t="n"/>
      <c r="F730" s="28" t="n"/>
    </row>
    <row r="731">
      <c r="A731" s="27" t="n"/>
      <c r="B731" s="28" t="n"/>
      <c r="C731" s="28" t="n"/>
      <c r="D731" s="29" t="n"/>
      <c r="E731" s="28" t="n"/>
      <c r="F731" s="28" t="n"/>
    </row>
    <row r="732">
      <c r="A732" s="27" t="n"/>
      <c r="B732" s="28" t="n"/>
      <c r="C732" s="28" t="n"/>
      <c r="D732" s="29" t="n"/>
      <c r="E732" s="28" t="n"/>
      <c r="F732" s="28" t="n"/>
    </row>
    <row r="733">
      <c r="A733" s="27" t="n"/>
      <c r="B733" s="28" t="n"/>
      <c r="C733" s="28" t="n"/>
      <c r="D733" s="29" t="n"/>
      <c r="E733" s="28" t="n"/>
      <c r="F733" s="28" t="n"/>
    </row>
    <row r="734">
      <c r="A734" s="27" t="n"/>
      <c r="B734" s="28" t="n"/>
      <c r="C734" s="28" t="n"/>
      <c r="D734" s="29" t="n"/>
      <c r="E734" s="28" t="n"/>
      <c r="F734" s="28" t="n"/>
    </row>
    <row r="735">
      <c r="A735" s="27" t="n"/>
      <c r="B735" s="28" t="n"/>
      <c r="C735" s="28" t="n"/>
      <c r="D735" s="29" t="n"/>
      <c r="E735" s="28" t="n"/>
      <c r="F735" s="28" t="n"/>
    </row>
    <row r="736">
      <c r="A736" s="27" t="n"/>
      <c r="B736" s="28" t="n"/>
      <c r="C736" s="28" t="n"/>
      <c r="D736" s="29" t="n"/>
      <c r="E736" s="28" t="n"/>
      <c r="F736" s="28" t="n"/>
    </row>
    <row r="737">
      <c r="A737" s="27" t="n"/>
      <c r="B737" s="28" t="n"/>
      <c r="C737" s="28" t="n"/>
      <c r="D737" s="29" t="n"/>
      <c r="E737" s="28" t="n"/>
      <c r="F737" s="28" t="n"/>
    </row>
    <row r="738">
      <c r="A738" s="27" t="n"/>
      <c r="B738" s="28" t="n"/>
      <c r="C738" s="28" t="n"/>
      <c r="D738" s="29" t="n"/>
      <c r="E738" s="28" t="n"/>
      <c r="F738" s="28" t="n"/>
    </row>
    <row r="739">
      <c r="A739" s="27" t="n"/>
      <c r="B739" s="28" t="n"/>
      <c r="C739" s="28" t="n"/>
      <c r="D739" s="29" t="n"/>
      <c r="E739" s="28" t="n"/>
      <c r="F739" s="28" t="n"/>
    </row>
    <row r="740">
      <c r="A740" s="27" t="n"/>
      <c r="B740" s="28" t="n"/>
      <c r="C740" s="28" t="n"/>
      <c r="D740" s="29" t="n"/>
      <c r="E740" s="28" t="n"/>
      <c r="F740" s="28" t="n"/>
    </row>
    <row r="741">
      <c r="A741" s="27" t="n"/>
      <c r="B741" s="28" t="n"/>
      <c r="C741" s="28" t="n"/>
      <c r="D741" s="29" t="n"/>
      <c r="E741" s="28" t="n"/>
      <c r="F741" s="28" t="n"/>
    </row>
    <row r="742">
      <c r="A742" s="27" t="n"/>
      <c r="B742" s="28" t="n"/>
      <c r="C742" s="28" t="n"/>
      <c r="D742" s="29" t="n"/>
      <c r="E742" s="28" t="n"/>
      <c r="F742" s="28" t="n"/>
    </row>
    <row r="743">
      <c r="A743" s="27" t="n"/>
      <c r="B743" s="28" t="n"/>
      <c r="C743" s="28" t="n"/>
      <c r="D743" s="29" t="n"/>
      <c r="E743" s="28" t="n"/>
      <c r="F743" s="28" t="n"/>
    </row>
    <row r="744">
      <c r="A744" s="27" t="n"/>
      <c r="B744" s="28" t="n"/>
      <c r="C744" s="28" t="n"/>
      <c r="D744" s="29" t="n"/>
      <c r="E744" s="28" t="n"/>
      <c r="F744" s="28" t="n"/>
    </row>
    <row r="745">
      <c r="A745" s="27" t="n"/>
      <c r="B745" s="28" t="n"/>
      <c r="C745" s="28" t="n"/>
      <c r="D745" s="29" t="n"/>
      <c r="E745" s="28" t="n"/>
      <c r="F745" s="28" t="n"/>
    </row>
    <row r="746">
      <c r="A746" s="27" t="n"/>
      <c r="B746" s="28" t="n"/>
      <c r="C746" s="28" t="n"/>
      <c r="D746" s="29" t="n"/>
      <c r="E746" s="28" t="n"/>
      <c r="F746" s="28" t="n"/>
    </row>
    <row r="747">
      <c r="A747" s="27" t="n"/>
      <c r="B747" s="28" t="n"/>
      <c r="C747" s="28" t="n"/>
      <c r="D747" s="29" t="n"/>
      <c r="E747" s="28" t="n"/>
      <c r="F747" s="28" t="n"/>
    </row>
    <row r="748">
      <c r="A748" s="27" t="n"/>
      <c r="B748" s="28" t="n"/>
      <c r="C748" s="28" t="n"/>
      <c r="D748" s="29" t="n"/>
      <c r="E748" s="28" t="n"/>
      <c r="F748" s="28" t="n"/>
    </row>
    <row r="749">
      <c r="A749" s="27" t="n"/>
      <c r="B749" s="28" t="n"/>
      <c r="C749" s="28" t="n"/>
      <c r="D749" s="29" t="n"/>
      <c r="E749" s="28" t="n"/>
      <c r="F749" s="28" t="n"/>
    </row>
    <row r="750">
      <c r="A750" s="27" t="n"/>
      <c r="B750" s="28" t="n"/>
      <c r="C750" s="28" t="n"/>
      <c r="D750" s="29" t="n"/>
      <c r="E750" s="28" t="n"/>
      <c r="F750" s="28" t="n"/>
    </row>
    <row r="751">
      <c r="A751" s="27" t="n"/>
      <c r="B751" s="28" t="n"/>
      <c r="C751" s="28" t="n"/>
      <c r="D751" s="29" t="n"/>
      <c r="E751" s="28" t="n"/>
      <c r="F751" s="28" t="n"/>
    </row>
    <row r="752">
      <c r="A752" s="27" t="n"/>
      <c r="B752" s="28" t="n"/>
      <c r="C752" s="28" t="n"/>
      <c r="D752" s="29" t="n"/>
      <c r="E752" s="28" t="n"/>
      <c r="F752" s="28" t="n"/>
    </row>
    <row r="753">
      <c r="A753" s="27" t="n"/>
      <c r="B753" s="28" t="n"/>
      <c r="C753" s="28" t="n"/>
      <c r="D753" s="29" t="n"/>
      <c r="E753" s="28" t="n"/>
      <c r="F753" s="28" t="n"/>
    </row>
    <row r="754">
      <c r="A754" s="27" t="n"/>
      <c r="B754" s="28" t="n"/>
      <c r="C754" s="28" t="n"/>
      <c r="D754" s="29" t="n"/>
      <c r="E754" s="28" t="n"/>
      <c r="F754" s="28" t="n"/>
    </row>
    <row r="755">
      <c r="A755" s="27" t="n"/>
      <c r="B755" s="28" t="n"/>
      <c r="C755" s="28" t="n"/>
      <c r="D755" s="29" t="n"/>
      <c r="E755" s="28" t="n"/>
      <c r="F755" s="28" t="n"/>
    </row>
    <row r="756">
      <c r="A756" s="27" t="n"/>
      <c r="B756" s="28" t="n"/>
      <c r="C756" s="28" t="n"/>
      <c r="D756" s="29" t="n"/>
      <c r="E756" s="28" t="n"/>
      <c r="F756" s="28" t="n"/>
    </row>
    <row r="757">
      <c r="A757" s="27" t="n"/>
      <c r="B757" s="28" t="n"/>
      <c r="C757" s="28" t="n"/>
      <c r="D757" s="29" t="n"/>
      <c r="E757" s="28" t="n"/>
      <c r="F757" s="28" t="n"/>
    </row>
    <row r="758">
      <c r="A758" s="27" t="n"/>
      <c r="B758" s="28" t="n"/>
      <c r="C758" s="28" t="n"/>
      <c r="D758" s="29" t="n"/>
      <c r="E758" s="28" t="n"/>
      <c r="F758" s="28" t="n"/>
    </row>
    <row r="759">
      <c r="A759" s="27" t="n"/>
      <c r="B759" s="28" t="n"/>
      <c r="C759" s="28" t="n"/>
      <c r="D759" s="29" t="n"/>
      <c r="E759" s="28" t="n"/>
      <c r="F759" s="28" t="n"/>
    </row>
    <row r="760">
      <c r="A760" s="27" t="n"/>
      <c r="B760" s="28" t="n"/>
      <c r="C760" s="28" t="n"/>
      <c r="D760" s="29" t="n"/>
      <c r="E760" s="28" t="n"/>
      <c r="F760" s="28" t="n"/>
    </row>
    <row r="761">
      <c r="A761" s="27" t="n"/>
      <c r="B761" s="28" t="n"/>
      <c r="C761" s="28" t="n"/>
      <c r="D761" s="29" t="n"/>
      <c r="E761" s="28" t="n"/>
      <c r="F761" s="28" t="n"/>
    </row>
    <row r="762">
      <c r="A762" s="27" t="n"/>
      <c r="B762" s="28" t="n"/>
      <c r="C762" s="28" t="n"/>
      <c r="D762" s="29" t="n"/>
      <c r="E762" s="28" t="n"/>
      <c r="F762" s="28" t="n"/>
    </row>
    <row r="763">
      <c r="A763" s="27" t="n"/>
      <c r="B763" s="28" t="n"/>
      <c r="C763" s="28" t="n"/>
      <c r="D763" s="29" t="n"/>
      <c r="E763" s="28" t="n"/>
      <c r="F763" s="28" t="n"/>
    </row>
    <row r="764">
      <c r="A764" s="27" t="n"/>
      <c r="B764" s="28" t="n"/>
      <c r="C764" s="28" t="n"/>
      <c r="D764" s="29" t="n"/>
      <c r="E764" s="28" t="n"/>
      <c r="F764" s="28" t="n"/>
    </row>
    <row r="765">
      <c r="A765" s="27" t="n"/>
      <c r="B765" s="28" t="n"/>
      <c r="C765" s="28" t="n"/>
      <c r="D765" s="29" t="n"/>
      <c r="E765" s="28" t="n"/>
      <c r="F765" s="28" t="n"/>
    </row>
    <row r="766">
      <c r="A766" s="27" t="n"/>
      <c r="B766" s="28" t="n"/>
      <c r="C766" s="28" t="n"/>
      <c r="D766" s="29" t="n"/>
      <c r="E766" s="28" t="n"/>
      <c r="F766" s="28" t="n"/>
    </row>
    <row r="767">
      <c r="A767" s="27" t="n"/>
      <c r="B767" s="28" t="n"/>
      <c r="C767" s="28" t="n"/>
      <c r="D767" s="29" t="n"/>
      <c r="E767" s="28" t="n"/>
      <c r="F767" s="28" t="n"/>
    </row>
    <row r="768">
      <c r="A768" s="27" t="n"/>
      <c r="B768" s="28" t="n"/>
      <c r="C768" s="28" t="n"/>
      <c r="D768" s="29" t="n"/>
      <c r="E768" s="28" t="n"/>
      <c r="F768" s="28" t="n"/>
    </row>
    <row r="769">
      <c r="A769" s="27" t="n"/>
      <c r="B769" s="28" t="n"/>
      <c r="C769" s="28" t="n"/>
      <c r="D769" s="29" t="n"/>
      <c r="E769" s="28" t="n"/>
      <c r="F769" s="28" t="n"/>
    </row>
    <row r="770">
      <c r="A770" s="27" t="n"/>
      <c r="B770" s="28" t="n"/>
      <c r="C770" s="28" t="n"/>
      <c r="D770" s="29" t="n"/>
      <c r="E770" s="28" t="n"/>
      <c r="F770" s="28" t="n"/>
    </row>
    <row r="771">
      <c r="A771" s="27" t="n"/>
      <c r="B771" s="28" t="n"/>
      <c r="C771" s="28" t="n"/>
      <c r="D771" s="29" t="n"/>
      <c r="E771" s="28" t="n"/>
      <c r="F771" s="28" t="n"/>
    </row>
    <row r="772">
      <c r="A772" s="27" t="n"/>
      <c r="B772" s="28" t="n"/>
      <c r="C772" s="28" t="n"/>
      <c r="D772" s="29" t="n"/>
      <c r="E772" s="28" t="n"/>
      <c r="F772" s="28" t="n"/>
    </row>
    <row r="773">
      <c r="A773" s="27" t="n"/>
      <c r="B773" s="28" t="n"/>
      <c r="C773" s="28" t="n"/>
      <c r="D773" s="29" t="n"/>
      <c r="E773" s="28" t="n"/>
      <c r="F773" s="28" t="n"/>
    </row>
    <row r="774">
      <c r="A774" s="27" t="n"/>
      <c r="B774" s="28" t="n"/>
      <c r="C774" s="28" t="n"/>
      <c r="D774" s="29" t="n"/>
      <c r="E774" s="28" t="n"/>
      <c r="F774" s="28" t="n"/>
    </row>
    <row r="775">
      <c r="A775" s="27" t="n"/>
      <c r="B775" s="28" t="n"/>
      <c r="C775" s="28" t="n"/>
      <c r="D775" s="29" t="n"/>
      <c r="E775" s="28" t="n"/>
      <c r="F775" s="28" t="n"/>
    </row>
    <row r="776">
      <c r="A776" s="27" t="n"/>
      <c r="B776" s="28" t="n"/>
      <c r="C776" s="28" t="n"/>
      <c r="D776" s="29" t="n"/>
      <c r="E776" s="28" t="n"/>
      <c r="F776" s="28" t="n"/>
    </row>
    <row r="777">
      <c r="A777" s="27" t="n"/>
      <c r="B777" s="28" t="n"/>
      <c r="C777" s="28" t="n"/>
      <c r="D777" s="29" t="n"/>
      <c r="E777" s="28" t="n"/>
      <c r="F777" s="28" t="n"/>
    </row>
    <row r="778">
      <c r="A778" s="27" t="n"/>
      <c r="B778" s="28" t="n"/>
      <c r="C778" s="28" t="n"/>
      <c r="D778" s="29" t="n"/>
      <c r="E778" s="28" t="n"/>
      <c r="F778" s="28" t="n"/>
    </row>
    <row r="779">
      <c r="A779" s="27" t="n"/>
      <c r="B779" s="28" t="n"/>
      <c r="C779" s="28" t="n"/>
      <c r="D779" s="29" t="n"/>
      <c r="E779" s="28" t="n"/>
      <c r="F779" s="28" t="n"/>
    </row>
    <row r="780">
      <c r="A780" s="27" t="n"/>
      <c r="B780" s="28" t="n"/>
      <c r="C780" s="28" t="n"/>
      <c r="D780" s="29" t="n"/>
      <c r="E780" s="28" t="n"/>
      <c r="F780" s="28" t="n"/>
    </row>
    <row r="781">
      <c r="A781" s="27" t="n"/>
      <c r="B781" s="28" t="n"/>
      <c r="C781" s="28" t="n"/>
      <c r="D781" s="29" t="n"/>
      <c r="E781" s="28" t="n"/>
      <c r="F781" s="28" t="n"/>
    </row>
    <row r="782">
      <c r="A782" s="27" t="n"/>
      <c r="B782" s="28" t="n"/>
      <c r="C782" s="28" t="n"/>
      <c r="D782" s="29" t="n"/>
      <c r="E782" s="28" t="n"/>
      <c r="F782" s="28" t="n"/>
    </row>
    <row r="783">
      <c r="A783" s="27" t="n"/>
      <c r="B783" s="28" t="n"/>
      <c r="C783" s="28" t="n"/>
      <c r="D783" s="29" t="n"/>
      <c r="E783" s="28" t="n"/>
      <c r="F783" s="28" t="n"/>
    </row>
    <row r="784">
      <c r="A784" s="27" t="n"/>
      <c r="B784" s="28" t="n"/>
      <c r="C784" s="28" t="n"/>
      <c r="D784" s="29" t="n"/>
      <c r="E784" s="28" t="n"/>
      <c r="F784" s="28" t="n"/>
    </row>
    <row r="785">
      <c r="A785" s="27" t="n"/>
      <c r="B785" s="28" t="n"/>
      <c r="C785" s="28" t="n"/>
      <c r="D785" s="29" t="n"/>
      <c r="E785" s="28" t="n"/>
      <c r="F785" s="28" t="n"/>
    </row>
    <row r="786">
      <c r="A786" s="27" t="n"/>
      <c r="B786" s="28" t="n"/>
      <c r="C786" s="28" t="n"/>
      <c r="D786" s="29" t="n"/>
      <c r="E786" s="28" t="n"/>
      <c r="F786" s="28" t="n"/>
    </row>
    <row r="787">
      <c r="A787" s="27" t="n"/>
      <c r="B787" s="28" t="n"/>
      <c r="C787" s="28" t="n"/>
      <c r="D787" s="29" t="n"/>
      <c r="E787" s="28" t="n"/>
      <c r="F787" s="28" t="n"/>
    </row>
    <row r="788">
      <c r="A788" s="27" t="n"/>
      <c r="B788" s="28" t="n"/>
      <c r="C788" s="28" t="n"/>
      <c r="D788" s="29" t="n"/>
      <c r="E788" s="28" t="n"/>
      <c r="F788" s="28" t="n"/>
    </row>
    <row r="789">
      <c r="A789" s="27" t="n"/>
      <c r="B789" s="28" t="n"/>
      <c r="C789" s="28" t="n"/>
      <c r="D789" s="29" t="n"/>
      <c r="E789" s="28" t="n"/>
      <c r="F789" s="28" t="n"/>
    </row>
    <row r="790">
      <c r="A790" s="27" t="n"/>
      <c r="B790" s="28" t="n"/>
      <c r="C790" s="28" t="n"/>
      <c r="D790" s="29" t="n"/>
      <c r="E790" s="28" t="n"/>
      <c r="F790" s="28" t="n"/>
    </row>
    <row r="791">
      <c r="A791" s="27" t="n"/>
      <c r="B791" s="28" t="n"/>
      <c r="C791" s="28" t="n"/>
      <c r="D791" s="29" t="n"/>
      <c r="E791" s="28" t="n"/>
      <c r="F791" s="28" t="n"/>
    </row>
    <row r="792">
      <c r="A792" s="27" t="n"/>
      <c r="B792" s="28" t="n"/>
      <c r="C792" s="28" t="n"/>
      <c r="D792" s="29" t="n"/>
      <c r="E792" s="28" t="n"/>
      <c r="F792" s="28" t="n"/>
    </row>
    <row r="793">
      <c r="A793" s="27" t="n"/>
      <c r="B793" s="28" t="n"/>
      <c r="C793" s="28" t="n"/>
      <c r="D793" s="29" t="n"/>
      <c r="E793" s="28" t="n"/>
      <c r="F793" s="28" t="n"/>
    </row>
    <row r="794">
      <c r="A794" s="27" t="n"/>
      <c r="B794" s="28" t="n"/>
      <c r="C794" s="28" t="n"/>
      <c r="D794" s="29" t="n"/>
      <c r="E794" s="28" t="n"/>
      <c r="F794" s="28" t="n"/>
    </row>
    <row r="795">
      <c r="A795" s="27" t="n"/>
      <c r="B795" s="28" t="n"/>
      <c r="C795" s="28" t="n"/>
      <c r="D795" s="29" t="n"/>
      <c r="E795" s="28" t="n"/>
      <c r="F795" s="28" t="n"/>
    </row>
    <row r="796">
      <c r="A796" s="27" t="n"/>
      <c r="B796" s="28" t="n"/>
      <c r="C796" s="28" t="n"/>
      <c r="D796" s="29" t="n"/>
      <c r="E796" s="28" t="n"/>
      <c r="F796" s="28" t="n"/>
    </row>
    <row r="797">
      <c r="A797" s="27" t="n"/>
      <c r="B797" s="28" t="n"/>
      <c r="C797" s="28" t="n"/>
      <c r="D797" s="29" t="n"/>
      <c r="E797" s="28" t="n"/>
      <c r="F797" s="28" t="n"/>
    </row>
    <row r="798">
      <c r="A798" s="27" t="n"/>
      <c r="B798" s="28" t="n"/>
      <c r="C798" s="28" t="n"/>
      <c r="D798" s="29" t="n"/>
      <c r="E798" s="28" t="n"/>
      <c r="F798" s="28" t="n"/>
    </row>
    <row r="799">
      <c r="A799" s="27" t="n"/>
      <c r="B799" s="28" t="n"/>
      <c r="C799" s="28" t="n"/>
      <c r="D799" s="29" t="n"/>
      <c r="E799" s="28" t="n"/>
      <c r="F799" s="28" t="n"/>
    </row>
    <row r="800">
      <c r="A800" s="27" t="n"/>
      <c r="B800" s="28" t="n"/>
      <c r="C800" s="28" t="n"/>
      <c r="D800" s="29" t="n"/>
      <c r="E800" s="28" t="n"/>
      <c r="F800" s="28" t="n"/>
    </row>
    <row r="801">
      <c r="A801" s="27" t="n"/>
      <c r="B801" s="28" t="n"/>
      <c r="C801" s="28" t="n"/>
      <c r="D801" s="29" t="n"/>
      <c r="E801" s="28" t="n"/>
      <c r="F801" s="28" t="n"/>
    </row>
    <row r="802">
      <c r="A802" s="27" t="n"/>
      <c r="B802" s="28" t="n"/>
      <c r="C802" s="28" t="n"/>
      <c r="D802" s="29" t="n"/>
      <c r="E802" s="28" t="n"/>
      <c r="F802" s="28" t="n"/>
    </row>
    <row r="803">
      <c r="A803" s="27" t="n"/>
      <c r="B803" s="28" t="n"/>
      <c r="C803" s="28" t="n"/>
      <c r="D803" s="29" t="n"/>
      <c r="E803" s="28" t="n"/>
      <c r="F803" s="28" t="n"/>
    </row>
    <row r="804">
      <c r="A804" s="27" t="n"/>
      <c r="B804" s="28" t="n"/>
      <c r="C804" s="28" t="n"/>
      <c r="D804" s="29" t="n"/>
      <c r="E804" s="28" t="n"/>
      <c r="F804" s="28" t="n"/>
    </row>
    <row r="805">
      <c r="A805" s="27" t="n"/>
      <c r="B805" s="28" t="n"/>
      <c r="C805" s="28" t="n"/>
      <c r="D805" s="29" t="n"/>
      <c r="E805" s="28" t="n"/>
      <c r="F805" s="28" t="n"/>
    </row>
    <row r="806">
      <c r="A806" s="27" t="n"/>
      <c r="B806" s="28" t="n"/>
      <c r="C806" s="28" t="n"/>
      <c r="D806" s="29" t="n"/>
      <c r="E806" s="28" t="n"/>
      <c r="F806" s="28" t="n"/>
    </row>
    <row r="807">
      <c r="A807" s="27" t="n"/>
      <c r="B807" s="28" t="n"/>
      <c r="C807" s="28" t="n"/>
      <c r="D807" s="29" t="n"/>
      <c r="E807" s="28" t="n"/>
      <c r="F807" s="28" t="n"/>
    </row>
    <row r="808">
      <c r="A808" s="27" t="n"/>
      <c r="B808" s="28" t="n"/>
      <c r="C808" s="28" t="n"/>
      <c r="D808" s="29" t="n"/>
      <c r="E808" s="28" t="n"/>
      <c r="F808" s="28" t="n"/>
    </row>
    <row r="809">
      <c r="A809" s="27" t="n"/>
      <c r="B809" s="28" t="n"/>
      <c r="C809" s="28" t="n"/>
      <c r="D809" s="29" t="n"/>
      <c r="E809" s="28" t="n"/>
      <c r="F809" s="28" t="n"/>
    </row>
    <row r="810">
      <c r="A810" s="27" t="n"/>
      <c r="B810" s="28" t="n"/>
      <c r="C810" s="28" t="n"/>
      <c r="D810" s="29" t="n"/>
      <c r="E810" s="28" t="n"/>
      <c r="F810" s="28" t="n"/>
    </row>
    <row r="811">
      <c r="A811" s="27" t="n"/>
      <c r="B811" s="28" t="n"/>
      <c r="C811" s="28" t="n"/>
      <c r="D811" s="29" t="n"/>
      <c r="E811" s="28" t="n"/>
      <c r="F811" s="28" t="n"/>
    </row>
    <row r="812">
      <c r="A812" s="27" t="n"/>
      <c r="B812" s="28" t="n"/>
      <c r="C812" s="28" t="n"/>
      <c r="D812" s="29" t="n"/>
      <c r="E812" s="28" t="n"/>
      <c r="F812" s="28" t="n"/>
    </row>
    <row r="813">
      <c r="A813" s="27" t="n"/>
      <c r="B813" s="28" t="n"/>
      <c r="C813" s="28" t="n"/>
      <c r="D813" s="29" t="n"/>
      <c r="E813" s="28" t="n"/>
      <c r="F813" s="28" t="n"/>
    </row>
    <row r="814">
      <c r="A814" s="27" t="n"/>
      <c r="B814" s="28" t="n"/>
      <c r="C814" s="28" t="n"/>
      <c r="D814" s="29" t="n"/>
      <c r="E814" s="28" t="n"/>
      <c r="F814" s="28" t="n"/>
    </row>
    <row r="815">
      <c r="A815" s="27" t="n"/>
      <c r="B815" s="28" t="n"/>
      <c r="C815" s="28" t="n"/>
      <c r="D815" s="29" t="n"/>
      <c r="E815" s="28" t="n"/>
      <c r="F815" s="28" t="n"/>
    </row>
    <row r="816">
      <c r="A816" s="27" t="n"/>
      <c r="B816" s="28" t="n"/>
      <c r="C816" s="28" t="n"/>
      <c r="D816" s="29" t="n"/>
      <c r="E816" s="28" t="n"/>
      <c r="F816" s="28" t="n"/>
    </row>
    <row r="817">
      <c r="A817" s="27" t="n"/>
      <c r="B817" s="28" t="n"/>
      <c r="C817" s="28" t="n"/>
      <c r="D817" s="29" t="n"/>
      <c r="E817" s="28" t="n"/>
      <c r="F817" s="28" t="n"/>
    </row>
    <row r="818">
      <c r="A818" s="27" t="n"/>
      <c r="B818" s="28" t="n"/>
      <c r="C818" s="28" t="n"/>
      <c r="D818" s="29" t="n"/>
      <c r="E818" s="28" t="n"/>
      <c r="F818" s="28" t="n"/>
    </row>
    <row r="819">
      <c r="A819" s="27" t="n"/>
      <c r="B819" s="28" t="n"/>
      <c r="C819" s="28" t="n"/>
      <c r="D819" s="29" t="n"/>
      <c r="E819" s="28" t="n"/>
      <c r="F819" s="28" t="n"/>
    </row>
    <row r="820">
      <c r="A820" s="27" t="n"/>
      <c r="B820" s="28" t="n"/>
      <c r="C820" s="28" t="n"/>
      <c r="D820" s="29" t="n"/>
      <c r="E820" s="28" t="n"/>
      <c r="F820" s="28" t="n"/>
    </row>
    <row r="821">
      <c r="A821" s="27" t="n"/>
      <c r="B821" s="28" t="n"/>
      <c r="C821" s="28" t="n"/>
      <c r="D821" s="29" t="n"/>
      <c r="E821" s="28" t="n"/>
      <c r="F821" s="28" t="n"/>
    </row>
    <row r="822">
      <c r="A822" s="27" t="n"/>
      <c r="B822" s="28" t="n"/>
      <c r="C822" s="28" t="n"/>
      <c r="D822" s="29" t="n"/>
      <c r="E822" s="28" t="n"/>
      <c r="F822" s="28" t="n"/>
    </row>
    <row r="823">
      <c r="A823" s="27" t="n"/>
      <c r="B823" s="28" t="n"/>
      <c r="C823" s="28" t="n"/>
      <c r="D823" s="29" t="n"/>
      <c r="E823" s="28" t="n"/>
      <c r="F823" s="28" t="n"/>
    </row>
    <row r="824">
      <c r="A824" s="27" t="n"/>
      <c r="B824" s="28" t="n"/>
      <c r="C824" s="28" t="n"/>
      <c r="D824" s="29" t="n"/>
      <c r="E824" s="28" t="n"/>
      <c r="F824" s="28" t="n"/>
    </row>
    <row r="825">
      <c r="A825" s="27" t="n"/>
      <c r="B825" s="28" t="n"/>
      <c r="C825" s="28" t="n"/>
      <c r="D825" s="29" t="n"/>
      <c r="E825" s="28" t="n"/>
      <c r="F825" s="28" t="n"/>
    </row>
    <row r="826">
      <c r="A826" s="27" t="n"/>
      <c r="B826" s="28" t="n"/>
      <c r="C826" s="28" t="n"/>
      <c r="D826" s="29" t="n"/>
      <c r="E826" s="28" t="n"/>
      <c r="F826" s="28" t="n"/>
    </row>
    <row r="827">
      <c r="A827" s="27" t="n"/>
      <c r="B827" s="28" t="n"/>
      <c r="C827" s="28" t="n"/>
      <c r="D827" s="29" t="n"/>
      <c r="E827" s="28" t="n"/>
      <c r="F827" s="28" t="n"/>
    </row>
    <row r="828">
      <c r="A828" s="27" t="n"/>
      <c r="B828" s="28" t="n"/>
      <c r="C828" s="28" t="n"/>
      <c r="D828" s="29" t="n"/>
      <c r="E828" s="28" t="n"/>
      <c r="F828" s="28" t="n"/>
    </row>
    <row r="829">
      <c r="A829" s="27" t="n"/>
      <c r="B829" s="28" t="n"/>
      <c r="C829" s="28" t="n"/>
      <c r="D829" s="29" t="n"/>
      <c r="E829" s="28" t="n"/>
      <c r="F829" s="28" t="n"/>
    </row>
    <row r="830">
      <c r="A830" s="27" t="n"/>
      <c r="B830" s="28" t="n"/>
      <c r="C830" s="28" t="n"/>
      <c r="D830" s="29" t="n"/>
      <c r="E830" s="28" t="n"/>
      <c r="F830" s="28" t="n"/>
    </row>
    <row r="831">
      <c r="A831" s="27" t="n"/>
      <c r="B831" s="28" t="n"/>
      <c r="C831" s="28" t="n"/>
      <c r="D831" s="29" t="n"/>
      <c r="E831" s="28" t="n"/>
      <c r="F831" s="28" t="n"/>
    </row>
    <row r="832">
      <c r="A832" s="27" t="n"/>
      <c r="B832" s="28" t="n"/>
      <c r="C832" s="28" t="n"/>
      <c r="D832" s="29" t="n"/>
      <c r="E832" s="28" t="n"/>
      <c r="F832" s="28" t="n"/>
    </row>
    <row r="833">
      <c r="A833" s="27" t="n"/>
      <c r="B833" s="28" t="n"/>
      <c r="C833" s="28" t="n"/>
      <c r="D833" s="29" t="n"/>
      <c r="E833" s="28" t="n"/>
      <c r="F833" s="28" t="n"/>
    </row>
    <row r="834">
      <c r="A834" s="27" t="n"/>
      <c r="B834" s="28" t="n"/>
      <c r="C834" s="28" t="n"/>
      <c r="D834" s="29" t="n"/>
      <c r="E834" s="28" t="n"/>
      <c r="F834" s="28" t="n"/>
    </row>
    <row r="835">
      <c r="A835" s="27" t="n"/>
      <c r="B835" s="28" t="n"/>
      <c r="C835" s="28" t="n"/>
      <c r="D835" s="29" t="n"/>
      <c r="E835" s="28" t="n"/>
      <c r="F835" s="28" t="n"/>
    </row>
    <row r="836">
      <c r="A836" s="27" t="n"/>
      <c r="B836" s="28" t="n"/>
      <c r="C836" s="28" t="n"/>
      <c r="D836" s="29" t="n"/>
      <c r="E836" s="28" t="n"/>
      <c r="F836" s="28" t="n"/>
    </row>
    <row r="837">
      <c r="A837" s="27" t="n"/>
      <c r="B837" s="28" t="n"/>
      <c r="C837" s="28" t="n"/>
      <c r="D837" s="29" t="n"/>
      <c r="E837" s="28" t="n"/>
      <c r="F837" s="28" t="n"/>
    </row>
    <row r="838">
      <c r="A838" s="27" t="n"/>
      <c r="B838" s="28" t="n"/>
      <c r="C838" s="28" t="n"/>
      <c r="D838" s="29" t="n"/>
      <c r="E838" s="28" t="n"/>
      <c r="F838" s="28" t="n"/>
    </row>
    <row r="839">
      <c r="A839" s="27" t="n"/>
      <c r="B839" s="28" t="n"/>
      <c r="C839" s="28" t="n"/>
      <c r="D839" s="29" t="n"/>
      <c r="E839" s="28" t="n"/>
      <c r="F839" s="28" t="n"/>
    </row>
    <row r="840">
      <c r="A840" s="27" t="n"/>
      <c r="B840" s="28" t="n"/>
      <c r="C840" s="28" t="n"/>
      <c r="D840" s="29" t="n"/>
      <c r="E840" s="28" t="n"/>
      <c r="F840" s="28" t="n"/>
    </row>
    <row r="841">
      <c r="A841" s="27" t="n"/>
      <c r="B841" s="28" t="n"/>
      <c r="C841" s="28" t="n"/>
      <c r="D841" s="29" t="n"/>
      <c r="E841" s="28" t="n"/>
      <c r="F841" s="28" t="n"/>
    </row>
    <row r="842">
      <c r="A842" s="27" t="n"/>
      <c r="B842" s="28" t="n"/>
      <c r="C842" s="28" t="n"/>
      <c r="D842" s="29" t="n"/>
      <c r="E842" s="28" t="n"/>
      <c r="F842" s="28" t="n"/>
    </row>
    <row r="843">
      <c r="A843" s="27" t="n"/>
      <c r="B843" s="28" t="n"/>
      <c r="C843" s="28" t="n"/>
      <c r="D843" s="29" t="n"/>
      <c r="E843" s="28" t="n"/>
      <c r="F843" s="28" t="n"/>
    </row>
    <row r="844">
      <c r="A844" s="27" t="n"/>
      <c r="B844" s="28" t="n"/>
      <c r="C844" s="28" t="n"/>
      <c r="D844" s="29" t="n"/>
      <c r="E844" s="28" t="n"/>
      <c r="F844" s="28" t="n"/>
    </row>
    <row r="845">
      <c r="A845" s="27" t="n"/>
      <c r="B845" s="28" t="n"/>
      <c r="C845" s="28" t="n"/>
      <c r="D845" s="29" t="n"/>
      <c r="E845" s="28" t="n"/>
      <c r="F845" s="28" t="n"/>
    </row>
    <row r="846">
      <c r="A846" s="27" t="n"/>
      <c r="B846" s="28" t="n"/>
      <c r="C846" s="28" t="n"/>
      <c r="D846" s="29" t="n"/>
      <c r="E846" s="28" t="n"/>
      <c r="F846" s="28" t="n"/>
    </row>
    <row r="847">
      <c r="A847" s="27" t="n"/>
      <c r="B847" s="28" t="n"/>
      <c r="C847" s="28" t="n"/>
      <c r="D847" s="29" t="n"/>
      <c r="E847" s="28" t="n"/>
      <c r="F847" s="28" t="n"/>
    </row>
    <row r="848">
      <c r="A848" s="27" t="n"/>
      <c r="B848" s="28" t="n"/>
      <c r="C848" s="28" t="n"/>
      <c r="D848" s="29" t="n"/>
      <c r="E848" s="28" t="n"/>
      <c r="F848" s="28" t="n"/>
    </row>
    <row r="849">
      <c r="A849" s="27" t="n"/>
      <c r="B849" s="28" t="n"/>
      <c r="C849" s="28" t="n"/>
      <c r="D849" s="29" t="n"/>
      <c r="E849" s="28" t="n"/>
      <c r="F849" s="28" t="n"/>
    </row>
    <row r="850">
      <c r="A850" s="27" t="n"/>
      <c r="B850" s="28" t="n"/>
      <c r="C850" s="28" t="n"/>
      <c r="D850" s="29" t="n"/>
      <c r="E850" s="28" t="n"/>
      <c r="F850" s="28" t="n"/>
    </row>
    <row r="851">
      <c r="A851" s="27" t="n"/>
      <c r="B851" s="28" t="n"/>
      <c r="C851" s="28" t="n"/>
      <c r="D851" s="29" t="n"/>
      <c r="E851" s="28" t="n"/>
      <c r="F851" s="28" t="n"/>
    </row>
    <row r="852">
      <c r="A852" s="27" t="n"/>
      <c r="B852" s="28" t="n"/>
      <c r="C852" s="28" t="n"/>
      <c r="D852" s="29" t="n"/>
      <c r="E852" s="28" t="n"/>
      <c r="F852" s="28" t="n"/>
    </row>
    <row r="853">
      <c r="A853" s="27" t="n"/>
      <c r="B853" s="28" t="n"/>
      <c r="C853" s="28" t="n"/>
      <c r="D853" s="29" t="n"/>
      <c r="E853" s="28" t="n"/>
      <c r="F853" s="28" t="n"/>
    </row>
    <row r="854">
      <c r="A854" s="27" t="n"/>
      <c r="B854" s="28" t="n"/>
      <c r="C854" s="28" t="n"/>
      <c r="D854" s="29" t="n"/>
      <c r="E854" s="28" t="n"/>
      <c r="F854" s="28" t="n"/>
    </row>
    <row r="855">
      <c r="A855" s="27" t="n"/>
      <c r="B855" s="28" t="n"/>
      <c r="C855" s="28" t="n"/>
      <c r="D855" s="29" t="n"/>
      <c r="E855" s="28" t="n"/>
      <c r="F855" s="28" t="n"/>
    </row>
    <row r="856">
      <c r="A856" s="27" t="n"/>
      <c r="B856" s="28" t="n"/>
      <c r="C856" s="28" t="n"/>
      <c r="D856" s="29" t="n"/>
      <c r="E856" s="28" t="n"/>
      <c r="F856" s="28" t="n"/>
    </row>
    <row r="857">
      <c r="A857" s="27" t="n"/>
      <c r="B857" s="28" t="n"/>
      <c r="C857" s="28" t="n"/>
      <c r="D857" s="29" t="n"/>
      <c r="E857" s="28" t="n"/>
      <c r="F857" s="28" t="n"/>
    </row>
    <row r="858">
      <c r="A858" s="27" t="n"/>
      <c r="B858" s="28" t="n"/>
      <c r="C858" s="28" t="n"/>
      <c r="D858" s="29" t="n"/>
      <c r="E858" s="28" t="n"/>
      <c r="F858" s="28" t="n"/>
    </row>
    <row r="859">
      <c r="A859" s="27" t="n"/>
      <c r="B859" s="28" t="n"/>
      <c r="C859" s="28" t="n"/>
      <c r="D859" s="29" t="n"/>
      <c r="E859" s="28" t="n"/>
      <c r="F859" s="28" t="n"/>
    </row>
    <row r="860">
      <c r="A860" s="27" t="n"/>
      <c r="B860" s="28" t="n"/>
      <c r="C860" s="28" t="n"/>
      <c r="D860" s="29" t="n"/>
      <c r="E860" s="28" t="n"/>
      <c r="F860" s="28" t="n"/>
    </row>
    <row r="861">
      <c r="A861" s="27" t="n"/>
      <c r="B861" s="28" t="n"/>
      <c r="C861" s="28" t="n"/>
      <c r="D861" s="29" t="n"/>
      <c r="E861" s="28" t="n"/>
      <c r="F861" s="28" t="n"/>
    </row>
    <row r="862">
      <c r="A862" s="27" t="n"/>
      <c r="B862" s="28" t="n"/>
      <c r="C862" s="28" t="n"/>
      <c r="D862" s="29" t="n"/>
      <c r="E862" s="28" t="n"/>
      <c r="F862" s="28" t="n"/>
    </row>
    <row r="863">
      <c r="A863" s="27" t="n"/>
      <c r="B863" s="28" t="n"/>
      <c r="C863" s="28" t="n"/>
      <c r="D863" s="29" t="n"/>
      <c r="E863" s="28" t="n"/>
      <c r="F863" s="28" t="n"/>
    </row>
    <row r="864">
      <c r="A864" s="27" t="n"/>
      <c r="B864" s="28" t="n"/>
      <c r="C864" s="28" t="n"/>
      <c r="D864" s="29" t="n"/>
      <c r="E864" s="28" t="n"/>
      <c r="F864" s="28" t="n"/>
    </row>
    <row r="865">
      <c r="A865" s="27" t="n"/>
      <c r="B865" s="28" t="n"/>
      <c r="C865" s="28" t="n"/>
      <c r="D865" s="29" t="n"/>
      <c r="E865" s="28" t="n"/>
      <c r="F865" s="28" t="n"/>
    </row>
    <row r="866">
      <c r="A866" s="27" t="n"/>
      <c r="B866" s="28" t="n"/>
      <c r="C866" s="28" t="n"/>
      <c r="D866" s="29" t="n"/>
      <c r="E866" s="28" t="n"/>
      <c r="F866" s="28" t="n"/>
    </row>
    <row r="867">
      <c r="A867" s="27" t="n"/>
      <c r="B867" s="28" t="n"/>
      <c r="C867" s="28" t="n"/>
      <c r="D867" s="29" t="n"/>
      <c r="E867" s="28" t="n"/>
      <c r="F867" s="28" t="n"/>
    </row>
    <row r="868">
      <c r="A868" s="27" t="n"/>
      <c r="B868" s="28" t="n"/>
      <c r="C868" s="28" t="n"/>
      <c r="D868" s="29" t="n"/>
      <c r="E868" s="28" t="n"/>
      <c r="F868" s="28" t="n"/>
    </row>
    <row r="869">
      <c r="A869" s="27" t="n"/>
      <c r="B869" s="28" t="n"/>
      <c r="C869" s="28" t="n"/>
      <c r="D869" s="29" t="n"/>
      <c r="E869" s="28" t="n"/>
      <c r="F869" s="28" t="n"/>
    </row>
    <row r="870">
      <c r="A870" s="27" t="n"/>
      <c r="B870" s="28" t="n"/>
      <c r="C870" s="28" t="n"/>
      <c r="D870" s="29" t="n"/>
      <c r="E870" s="28" t="n"/>
      <c r="F870" s="28" t="n"/>
    </row>
    <row r="871">
      <c r="A871" s="27" t="n"/>
      <c r="B871" s="28" t="n"/>
      <c r="C871" s="28" t="n"/>
      <c r="D871" s="29" t="n"/>
      <c r="E871" s="28" t="n"/>
      <c r="F871" s="28" t="n"/>
    </row>
    <row r="872">
      <c r="A872" s="27" t="n"/>
      <c r="B872" s="28" t="n"/>
      <c r="C872" s="28" t="n"/>
      <c r="D872" s="29" t="n"/>
      <c r="E872" s="28" t="n"/>
      <c r="F872" s="28" t="n"/>
    </row>
    <row r="873">
      <c r="A873" s="27" t="n"/>
      <c r="B873" s="28" t="n"/>
      <c r="C873" s="28" t="n"/>
      <c r="D873" s="29" t="n"/>
      <c r="E873" s="28" t="n"/>
      <c r="F873" s="28" t="n"/>
    </row>
    <row r="874">
      <c r="A874" s="27" t="n"/>
      <c r="B874" s="28" t="n"/>
      <c r="C874" s="28" t="n"/>
      <c r="D874" s="29" t="n"/>
      <c r="E874" s="28" t="n"/>
      <c r="F874" s="28" t="n"/>
    </row>
    <row r="875">
      <c r="A875" s="27" t="n"/>
      <c r="B875" s="28" t="n"/>
      <c r="C875" s="28" t="n"/>
      <c r="D875" s="29" t="n"/>
      <c r="E875" s="28" t="n"/>
      <c r="F875" s="28" t="n"/>
    </row>
    <row r="876">
      <c r="A876" s="27" t="n"/>
      <c r="B876" s="28" t="n"/>
      <c r="C876" s="28" t="n"/>
      <c r="D876" s="29" t="n"/>
      <c r="E876" s="28" t="n"/>
      <c r="F876" s="28" t="n"/>
    </row>
    <row r="877">
      <c r="A877" s="27" t="n"/>
      <c r="B877" s="28" t="n"/>
      <c r="C877" s="28" t="n"/>
      <c r="D877" s="29" t="n"/>
      <c r="E877" s="28" t="n"/>
      <c r="F877" s="28" t="n"/>
    </row>
    <row r="878">
      <c r="A878" s="27" t="n"/>
      <c r="B878" s="28" t="n"/>
      <c r="C878" s="28" t="n"/>
      <c r="D878" s="29" t="n"/>
      <c r="E878" s="28" t="n"/>
      <c r="F878" s="28" t="n"/>
    </row>
    <row r="879">
      <c r="A879" s="27" t="n"/>
      <c r="B879" s="28" t="n"/>
      <c r="C879" s="28" t="n"/>
      <c r="D879" s="29" t="n"/>
      <c r="E879" s="28" t="n"/>
      <c r="F879" s="28" t="n"/>
    </row>
    <row r="880">
      <c r="A880" s="27" t="n"/>
      <c r="B880" s="28" t="n"/>
      <c r="C880" s="28" t="n"/>
      <c r="D880" s="29" t="n"/>
      <c r="E880" s="28" t="n"/>
      <c r="F880" s="28" t="n"/>
    </row>
    <row r="881">
      <c r="A881" s="27" t="n"/>
      <c r="B881" s="28" t="n"/>
      <c r="C881" s="28" t="n"/>
      <c r="D881" s="29" t="n"/>
      <c r="E881" s="28" t="n"/>
      <c r="F881" s="28" t="n"/>
    </row>
    <row r="882">
      <c r="A882" s="27" t="n"/>
      <c r="B882" s="28" t="n"/>
      <c r="C882" s="28" t="n"/>
      <c r="D882" s="29" t="n"/>
      <c r="E882" s="28" t="n"/>
      <c r="F882" s="28" t="n"/>
    </row>
    <row r="883">
      <c r="A883" s="27" t="n"/>
      <c r="B883" s="28" t="n"/>
      <c r="C883" s="28" t="n"/>
      <c r="D883" s="29" t="n"/>
      <c r="E883" s="28" t="n"/>
      <c r="F883" s="28" t="n"/>
    </row>
    <row r="884">
      <c r="A884" s="27" t="n"/>
      <c r="B884" s="28" t="n"/>
      <c r="C884" s="28" t="n"/>
      <c r="D884" s="29" t="n"/>
      <c r="E884" s="28" t="n"/>
      <c r="F884" s="28" t="n"/>
    </row>
    <row r="885">
      <c r="A885" s="27" t="n"/>
      <c r="B885" s="28" t="n"/>
      <c r="C885" s="28" t="n"/>
      <c r="D885" s="29" t="n"/>
      <c r="E885" s="28" t="n"/>
      <c r="F885" s="28" t="n"/>
    </row>
    <row r="886">
      <c r="A886" s="27" t="n"/>
      <c r="B886" s="28" t="n"/>
      <c r="C886" s="28" t="n"/>
      <c r="D886" s="29" t="n"/>
      <c r="E886" s="28" t="n"/>
      <c r="F886" s="28" t="n"/>
    </row>
    <row r="887">
      <c r="A887" s="27" t="n"/>
      <c r="B887" s="28" t="n"/>
      <c r="C887" s="28" t="n"/>
      <c r="D887" s="29" t="n"/>
      <c r="E887" s="28" t="n"/>
      <c r="F887" s="28" t="n"/>
    </row>
    <row r="888">
      <c r="A888" s="27" t="n"/>
      <c r="B888" s="28" t="n"/>
      <c r="C888" s="28" t="n"/>
      <c r="D888" s="29" t="n"/>
      <c r="E888" s="28" t="n"/>
      <c r="F888" s="28" t="n"/>
    </row>
    <row r="889">
      <c r="A889" s="27" t="n"/>
      <c r="B889" s="28" t="n"/>
      <c r="C889" s="28" t="n"/>
      <c r="D889" s="29" t="n"/>
      <c r="E889" s="28" t="n"/>
      <c r="F889" s="28" t="n"/>
    </row>
    <row r="890">
      <c r="A890" s="27" t="n"/>
      <c r="B890" s="28" t="n"/>
      <c r="C890" s="28" t="n"/>
      <c r="D890" s="29" t="n"/>
      <c r="E890" s="28" t="n"/>
      <c r="F890" s="28" t="n"/>
    </row>
    <row r="891">
      <c r="A891" s="27" t="n"/>
      <c r="B891" s="28" t="n"/>
      <c r="C891" s="28" t="n"/>
      <c r="D891" s="29" t="n"/>
      <c r="E891" s="28" t="n"/>
      <c r="F891" s="28" t="n"/>
    </row>
    <row r="892">
      <c r="A892" s="27" t="n"/>
      <c r="B892" s="28" t="n"/>
      <c r="C892" s="28" t="n"/>
      <c r="D892" s="29" t="n"/>
      <c r="E892" s="28" t="n"/>
      <c r="F892" s="28" t="n"/>
    </row>
    <row r="893">
      <c r="A893" s="27" t="n"/>
      <c r="B893" s="28" t="n"/>
      <c r="C893" s="28" t="n"/>
      <c r="D893" s="29" t="n"/>
      <c r="E893" s="28" t="n"/>
      <c r="F893" s="28" t="n"/>
    </row>
    <row r="894">
      <c r="A894" s="27" t="n"/>
      <c r="B894" s="28" t="n"/>
      <c r="C894" s="28" t="n"/>
      <c r="D894" s="29" t="n"/>
      <c r="E894" s="28" t="n"/>
      <c r="F894" s="28" t="n"/>
    </row>
    <row r="895">
      <c r="A895" s="27" t="n"/>
      <c r="B895" s="28" t="n"/>
      <c r="C895" s="28" t="n"/>
      <c r="D895" s="29" t="n"/>
      <c r="E895" s="28" t="n"/>
      <c r="F895" s="28" t="n"/>
    </row>
    <row r="896">
      <c r="A896" s="27" t="n"/>
      <c r="B896" s="28" t="n"/>
      <c r="C896" s="28" t="n"/>
      <c r="D896" s="29" t="n"/>
      <c r="E896" s="28" t="n"/>
      <c r="F896" s="28" t="n"/>
    </row>
    <row r="897">
      <c r="A897" s="27" t="n"/>
      <c r="B897" s="28" t="n"/>
      <c r="C897" s="28" t="n"/>
      <c r="D897" s="29" t="n"/>
      <c r="E897" s="28" t="n"/>
      <c r="F897" s="28" t="n"/>
    </row>
    <row r="898">
      <c r="A898" s="27" t="n"/>
      <c r="B898" s="28" t="n"/>
      <c r="C898" s="28" t="n"/>
      <c r="D898" s="29" t="n"/>
      <c r="E898" s="28" t="n"/>
      <c r="F898" s="28" t="n"/>
    </row>
    <row r="899">
      <c r="A899" s="27" t="n"/>
      <c r="B899" s="28" t="n"/>
      <c r="C899" s="28" t="n"/>
      <c r="D899" s="29" t="n"/>
      <c r="E899" s="28" t="n"/>
      <c r="F899" s="28" t="n"/>
    </row>
    <row r="900">
      <c r="A900" s="27" t="n"/>
      <c r="B900" s="28" t="n"/>
      <c r="C900" s="28" t="n"/>
      <c r="D900" s="29" t="n"/>
      <c r="E900" s="28" t="n"/>
      <c r="F900" s="28" t="n"/>
    </row>
    <row r="901">
      <c r="A901" s="27" t="n"/>
      <c r="B901" s="28" t="n"/>
      <c r="C901" s="28" t="n"/>
      <c r="D901" s="29" t="n"/>
      <c r="E901" s="28" t="n"/>
      <c r="F901" s="28" t="n"/>
    </row>
    <row r="902">
      <c r="A902" s="27" t="n"/>
      <c r="B902" s="28" t="n"/>
      <c r="C902" s="28" t="n"/>
      <c r="D902" s="29" t="n"/>
      <c r="E902" s="28" t="n"/>
      <c r="F902" s="28" t="n"/>
    </row>
    <row r="903">
      <c r="A903" s="27" t="n"/>
      <c r="B903" s="28" t="n"/>
      <c r="C903" s="28" t="n"/>
      <c r="D903" s="29" t="n"/>
      <c r="E903" s="28" t="n"/>
      <c r="F903" s="28" t="n"/>
    </row>
    <row r="904">
      <c r="A904" s="27" t="n"/>
      <c r="B904" s="28" t="n"/>
      <c r="C904" s="28" t="n"/>
      <c r="D904" s="29" t="n"/>
      <c r="E904" s="28" t="n"/>
      <c r="F904" s="28" t="n"/>
    </row>
    <row r="905">
      <c r="A905" s="27" t="n"/>
      <c r="B905" s="28" t="n"/>
      <c r="C905" s="28" t="n"/>
      <c r="D905" s="29" t="n"/>
      <c r="E905" s="28" t="n"/>
      <c r="F905" s="28" t="n"/>
    </row>
    <row r="906">
      <c r="A906" s="27" t="n"/>
      <c r="B906" s="28" t="n"/>
      <c r="C906" s="28" t="n"/>
      <c r="D906" s="29" t="n"/>
      <c r="E906" s="28" t="n"/>
      <c r="F906" s="28" t="n"/>
    </row>
    <row r="907">
      <c r="A907" s="27" t="n"/>
      <c r="B907" s="28" t="n"/>
      <c r="C907" s="28" t="n"/>
      <c r="D907" s="29" t="n"/>
      <c r="E907" s="28" t="n"/>
      <c r="F907" s="28" t="n"/>
    </row>
    <row r="908">
      <c r="A908" s="27" t="n"/>
      <c r="B908" s="28" t="n"/>
      <c r="C908" s="28" t="n"/>
      <c r="D908" s="29" t="n"/>
      <c r="E908" s="28" t="n"/>
      <c r="F908" s="28" t="n"/>
    </row>
    <row r="909">
      <c r="A909" s="27" t="n"/>
      <c r="B909" s="28" t="n"/>
      <c r="C909" s="28" t="n"/>
      <c r="D909" s="29" t="n"/>
      <c r="E909" s="28" t="n"/>
      <c r="F909" s="28" t="n"/>
    </row>
    <row r="910">
      <c r="A910" s="27" t="n"/>
      <c r="B910" s="28" t="n"/>
      <c r="C910" s="28" t="n"/>
      <c r="D910" s="29" t="n"/>
      <c r="E910" s="28" t="n"/>
      <c r="F910" s="28" t="n"/>
    </row>
    <row r="911">
      <c r="A911" s="27" t="n"/>
      <c r="B911" s="28" t="n"/>
      <c r="C911" s="28" t="n"/>
      <c r="D911" s="29" t="n"/>
      <c r="E911" s="28" t="n"/>
      <c r="F911" s="28" t="n"/>
    </row>
    <row r="912">
      <c r="A912" s="27" t="n"/>
      <c r="B912" s="28" t="n"/>
      <c r="C912" s="28" t="n"/>
      <c r="D912" s="29" t="n"/>
      <c r="E912" s="28" t="n"/>
      <c r="F912" s="28" t="n"/>
    </row>
    <row r="913">
      <c r="A913" s="27" t="n"/>
      <c r="B913" s="28" t="n"/>
      <c r="C913" s="28" t="n"/>
      <c r="D913" s="29" t="n"/>
      <c r="E913" s="28" t="n"/>
      <c r="F913" s="28" t="n"/>
    </row>
    <row r="914">
      <c r="A914" s="27" t="n"/>
      <c r="B914" s="28" t="n"/>
      <c r="C914" s="28" t="n"/>
      <c r="D914" s="29" t="n"/>
      <c r="E914" s="28" t="n"/>
      <c r="F914" s="28" t="n"/>
    </row>
    <row r="915">
      <c r="A915" s="27" t="n"/>
      <c r="B915" s="28" t="n"/>
      <c r="C915" s="28" t="n"/>
      <c r="D915" s="29" t="n"/>
      <c r="E915" s="28" t="n"/>
      <c r="F915" s="28" t="n"/>
    </row>
    <row r="916">
      <c r="A916" s="27" t="n"/>
      <c r="B916" s="28" t="n"/>
      <c r="C916" s="28" t="n"/>
      <c r="D916" s="29" t="n"/>
      <c r="E916" s="28" t="n"/>
      <c r="F916" s="28" t="n"/>
    </row>
    <row r="917">
      <c r="A917" s="27" t="n"/>
      <c r="B917" s="28" t="n"/>
      <c r="C917" s="28" t="n"/>
      <c r="D917" s="29" t="n"/>
      <c r="E917" s="28" t="n"/>
      <c r="F917" s="28" t="n"/>
    </row>
    <row r="918">
      <c r="A918" s="27" t="n"/>
      <c r="B918" s="28" t="n"/>
      <c r="C918" s="28" t="n"/>
      <c r="D918" s="29" t="n"/>
      <c r="E918" s="28" t="n"/>
      <c r="F918" s="28" t="n"/>
    </row>
    <row r="919">
      <c r="A919" s="27" t="n"/>
      <c r="B919" s="28" t="n"/>
      <c r="C919" s="28" t="n"/>
      <c r="D919" s="29" t="n"/>
      <c r="E919" s="28" t="n"/>
      <c r="F919" s="28" t="n"/>
    </row>
    <row r="920">
      <c r="A920" s="27" t="n"/>
      <c r="B920" s="28" t="n"/>
      <c r="C920" s="28" t="n"/>
      <c r="D920" s="29" t="n"/>
      <c r="E920" s="28" t="n"/>
      <c r="F920" s="28" t="n"/>
    </row>
    <row r="921">
      <c r="A921" s="27" t="n"/>
      <c r="B921" s="28" t="n"/>
      <c r="C921" s="28" t="n"/>
      <c r="D921" s="29" t="n"/>
      <c r="E921" s="28" t="n"/>
      <c r="F921" s="28" t="n"/>
    </row>
    <row r="922">
      <c r="A922" s="27" t="n"/>
      <c r="B922" s="28" t="n"/>
      <c r="C922" s="28" t="n"/>
      <c r="D922" s="29" t="n"/>
      <c r="E922" s="28" t="n"/>
      <c r="F922" s="28" t="n"/>
    </row>
    <row r="923">
      <c r="A923" s="27" t="n"/>
      <c r="B923" s="28" t="n"/>
      <c r="C923" s="28" t="n"/>
      <c r="D923" s="29" t="n"/>
      <c r="E923" s="28" t="n"/>
      <c r="F923" s="28" t="n"/>
    </row>
    <row r="924">
      <c r="A924" s="27" t="n"/>
      <c r="B924" s="28" t="n"/>
      <c r="C924" s="28" t="n"/>
      <c r="D924" s="29" t="n"/>
      <c r="E924" s="28" t="n"/>
      <c r="F924" s="28" t="n"/>
    </row>
    <row r="925">
      <c r="A925" s="27" t="n"/>
      <c r="B925" s="28" t="n"/>
      <c r="C925" s="28" t="n"/>
      <c r="D925" s="29" t="n"/>
      <c r="E925" s="28" t="n"/>
      <c r="F925" s="28" t="n"/>
    </row>
    <row r="926">
      <c r="A926" s="27" t="n"/>
      <c r="B926" s="28" t="n"/>
      <c r="C926" s="28" t="n"/>
      <c r="D926" s="29" t="n"/>
      <c r="E926" s="28" t="n"/>
      <c r="F926" s="28" t="n"/>
    </row>
    <row r="927">
      <c r="A927" s="27" t="n"/>
      <c r="B927" s="28" t="n"/>
      <c r="C927" s="28" t="n"/>
      <c r="D927" s="29" t="n"/>
      <c r="E927" s="28" t="n"/>
      <c r="F927" s="28" t="n"/>
    </row>
    <row r="928">
      <c r="A928" s="27" t="n"/>
      <c r="B928" s="28" t="n"/>
      <c r="C928" s="28" t="n"/>
      <c r="D928" s="29" t="n"/>
      <c r="E928" s="28" t="n"/>
      <c r="F928" s="28" t="n"/>
    </row>
    <row r="929">
      <c r="A929" s="27" t="n"/>
      <c r="B929" s="28" t="n"/>
      <c r="C929" s="28" t="n"/>
      <c r="D929" s="29" t="n"/>
      <c r="E929" s="28" t="n"/>
      <c r="F929" s="28" t="n"/>
    </row>
    <row r="930">
      <c r="A930" s="27" t="n"/>
      <c r="B930" s="28" t="n"/>
      <c r="C930" s="28" t="n"/>
      <c r="D930" s="29" t="n"/>
      <c r="E930" s="28" t="n"/>
      <c r="F930" s="28" t="n"/>
    </row>
    <row r="931">
      <c r="A931" s="27" t="n"/>
      <c r="B931" s="28" t="n"/>
      <c r="C931" s="28" t="n"/>
      <c r="D931" s="29" t="n"/>
      <c r="E931" s="28" t="n"/>
      <c r="F931" s="28" t="n"/>
    </row>
    <row r="932">
      <c r="A932" s="27" t="n"/>
      <c r="B932" s="28" t="n"/>
      <c r="C932" s="28" t="n"/>
      <c r="D932" s="29" t="n"/>
      <c r="E932" s="28" t="n"/>
      <c r="F932" s="28" t="n"/>
    </row>
    <row r="933">
      <c r="A933" s="27" t="n"/>
      <c r="B933" s="28" t="n"/>
      <c r="C933" s="28" t="n"/>
      <c r="D933" s="29" t="n"/>
      <c r="E933" s="28" t="n"/>
      <c r="F933" s="28" t="n"/>
    </row>
    <row r="934">
      <c r="A934" s="27" t="n"/>
      <c r="B934" s="28" t="n"/>
      <c r="C934" s="28" t="n"/>
      <c r="D934" s="29" t="n"/>
      <c r="E934" s="28" t="n"/>
      <c r="F934" s="28" t="n"/>
    </row>
    <row r="935">
      <c r="A935" s="27" t="n"/>
      <c r="B935" s="28" t="n"/>
      <c r="C935" s="28" t="n"/>
      <c r="D935" s="29" t="n"/>
      <c r="E935" s="28" t="n"/>
      <c r="F935" s="28" t="n"/>
    </row>
    <row r="936">
      <c r="A936" s="27" t="n"/>
      <c r="B936" s="28" t="n"/>
      <c r="C936" s="28" t="n"/>
      <c r="D936" s="29" t="n"/>
      <c r="E936" s="28" t="n"/>
      <c r="F936" s="28" t="n"/>
    </row>
    <row r="937">
      <c r="A937" s="27" t="n"/>
      <c r="B937" s="28" t="n"/>
      <c r="C937" s="28" t="n"/>
      <c r="D937" s="29" t="n"/>
      <c r="E937" s="28" t="n"/>
      <c r="F937" s="28" t="n"/>
    </row>
    <row r="938">
      <c r="A938" s="27" t="n"/>
      <c r="B938" s="28" t="n"/>
      <c r="C938" s="28" t="n"/>
      <c r="D938" s="29" t="n"/>
      <c r="E938" s="28" t="n"/>
      <c r="F938" s="28" t="n"/>
    </row>
    <row r="939">
      <c r="A939" s="27" t="n"/>
      <c r="B939" s="28" t="n"/>
      <c r="C939" s="28" t="n"/>
      <c r="D939" s="29" t="n"/>
      <c r="E939" s="28" t="n"/>
      <c r="F939" s="28" t="n"/>
    </row>
    <row r="940">
      <c r="A940" s="27" t="n"/>
      <c r="B940" s="28" t="n"/>
      <c r="C940" s="28" t="n"/>
      <c r="D940" s="29" t="n"/>
      <c r="E940" s="28" t="n"/>
      <c r="F940" s="28" t="n"/>
    </row>
    <row r="941">
      <c r="A941" s="27" t="n"/>
      <c r="B941" s="28" t="n"/>
      <c r="C941" s="28" t="n"/>
      <c r="D941" s="29" t="n"/>
      <c r="E941" s="28" t="n"/>
      <c r="F941" s="28" t="n"/>
    </row>
    <row r="942">
      <c r="A942" s="27" t="n"/>
      <c r="B942" s="28" t="n"/>
      <c r="C942" s="28" t="n"/>
      <c r="D942" s="29" t="n"/>
      <c r="E942" s="28" t="n"/>
      <c r="F942" s="28" t="n"/>
    </row>
    <row r="943">
      <c r="A943" s="27" t="n"/>
      <c r="B943" s="28" t="n"/>
      <c r="C943" s="28" t="n"/>
      <c r="D943" s="29" t="n"/>
      <c r="E943" s="28" t="n"/>
      <c r="F943" s="28" t="n"/>
    </row>
    <row r="944">
      <c r="A944" s="27" t="n"/>
      <c r="B944" s="28" t="n"/>
      <c r="C944" s="28" t="n"/>
      <c r="D944" s="29" t="n"/>
      <c r="E944" s="28" t="n"/>
      <c r="F944" s="28" t="n"/>
    </row>
    <row r="945">
      <c r="A945" s="27" t="n"/>
      <c r="B945" s="28" t="n"/>
      <c r="C945" s="28" t="n"/>
      <c r="D945" s="29" t="n"/>
      <c r="E945" s="28" t="n"/>
      <c r="F945" s="28" t="n"/>
    </row>
    <row r="946">
      <c r="A946" s="27" t="n"/>
      <c r="B946" s="28" t="n"/>
      <c r="C946" s="28" t="n"/>
      <c r="D946" s="29" t="n"/>
      <c r="E946" s="28" t="n"/>
      <c r="F946" s="28" t="n"/>
    </row>
    <row r="947">
      <c r="A947" s="27" t="n"/>
      <c r="B947" s="28" t="n"/>
      <c r="C947" s="28" t="n"/>
      <c r="D947" s="29" t="n"/>
      <c r="E947" s="28" t="n"/>
      <c r="F947" s="28" t="n"/>
    </row>
    <row r="948">
      <c r="A948" s="27" t="n"/>
      <c r="B948" s="28" t="n"/>
      <c r="C948" s="28" t="n"/>
      <c r="D948" s="29" t="n"/>
      <c r="E948" s="28" t="n"/>
      <c r="F948" s="28" t="n"/>
    </row>
    <row r="949">
      <c r="A949" s="27" t="n"/>
      <c r="B949" s="28" t="n"/>
      <c r="C949" s="28" t="n"/>
      <c r="D949" s="29" t="n"/>
      <c r="E949" s="28" t="n"/>
      <c r="F949" s="28" t="n"/>
    </row>
    <row r="950">
      <c r="A950" s="27" t="n"/>
      <c r="B950" s="28" t="n"/>
      <c r="C950" s="28" t="n"/>
      <c r="D950" s="29" t="n"/>
      <c r="E950" s="28" t="n"/>
      <c r="F950" s="28" t="n"/>
    </row>
    <row r="951">
      <c r="A951" s="27" t="n"/>
      <c r="B951" s="28" t="n"/>
      <c r="C951" s="28" t="n"/>
      <c r="D951" s="29" t="n"/>
      <c r="E951" s="28" t="n"/>
      <c r="F951" s="28" t="n"/>
    </row>
    <row r="952">
      <c r="A952" s="27" t="n"/>
      <c r="B952" s="28" t="n"/>
      <c r="C952" s="28" t="n"/>
      <c r="D952" s="29" t="n"/>
      <c r="E952" s="28" t="n"/>
      <c r="F952" s="28" t="n"/>
    </row>
    <row r="953">
      <c r="A953" s="27" t="n"/>
      <c r="B953" s="28" t="n"/>
      <c r="C953" s="28" t="n"/>
      <c r="D953" s="29" t="n"/>
      <c r="E953" s="28" t="n"/>
      <c r="F953" s="28" t="n"/>
    </row>
    <row r="954">
      <c r="A954" s="27" t="n"/>
      <c r="B954" s="28" t="n"/>
      <c r="C954" s="28" t="n"/>
      <c r="D954" s="29" t="n"/>
      <c r="E954" s="28" t="n"/>
      <c r="F954" s="28" t="n"/>
    </row>
    <row r="955">
      <c r="A955" s="27" t="n"/>
      <c r="B955" s="28" t="n"/>
      <c r="C955" s="28" t="n"/>
      <c r="D955" s="29" t="n"/>
      <c r="E955" s="28" t="n"/>
      <c r="F955" s="28" t="n"/>
    </row>
    <row r="956">
      <c r="A956" s="27" t="n"/>
      <c r="B956" s="28" t="n"/>
      <c r="C956" s="28" t="n"/>
      <c r="D956" s="29" t="n"/>
      <c r="E956" s="28" t="n"/>
      <c r="F956" s="28" t="n"/>
    </row>
    <row r="957">
      <c r="A957" s="27" t="n"/>
      <c r="B957" s="28" t="n"/>
      <c r="C957" s="28" t="n"/>
      <c r="D957" s="29" t="n"/>
      <c r="E957" s="28" t="n"/>
      <c r="F957" s="28" t="n"/>
    </row>
    <row r="958">
      <c r="A958" s="27" t="n"/>
      <c r="B958" s="28" t="n"/>
      <c r="C958" s="28" t="n"/>
      <c r="D958" s="29" t="n"/>
      <c r="E958" s="28" t="n"/>
      <c r="F958" s="28" t="n"/>
    </row>
    <row r="959">
      <c r="A959" s="27" t="n"/>
      <c r="B959" s="28" t="n"/>
      <c r="C959" s="28" t="n"/>
      <c r="D959" s="29" t="n"/>
      <c r="E959" s="28" t="n"/>
      <c r="F959" s="28" t="n"/>
    </row>
    <row r="960">
      <c r="A960" s="27" t="n"/>
      <c r="B960" s="28" t="n"/>
      <c r="C960" s="28" t="n"/>
      <c r="D960" s="29" t="n"/>
      <c r="E960" s="28" t="n"/>
      <c r="F960" s="28" t="n"/>
    </row>
    <row r="961">
      <c r="A961" s="27" t="n"/>
      <c r="B961" s="28" t="n"/>
      <c r="C961" s="28" t="n"/>
      <c r="D961" s="29" t="n"/>
      <c r="E961" s="28" t="n"/>
      <c r="F961" s="28" t="n"/>
    </row>
    <row r="962">
      <c r="A962" s="27" t="n"/>
      <c r="B962" s="28" t="n"/>
      <c r="C962" s="28" t="n"/>
      <c r="D962" s="29" t="n"/>
      <c r="E962" s="28" t="n"/>
      <c r="F962" s="28" t="n"/>
    </row>
    <row r="963">
      <c r="A963" s="27" t="n"/>
      <c r="B963" s="28" t="n"/>
      <c r="C963" s="28" t="n"/>
      <c r="D963" s="29" t="n"/>
      <c r="E963" s="28" t="n"/>
      <c r="F963" s="28" t="n"/>
    </row>
    <row r="964">
      <c r="A964" s="27" t="n"/>
      <c r="B964" s="28" t="n"/>
      <c r="C964" s="28" t="n"/>
      <c r="D964" s="29" t="n"/>
      <c r="E964" s="28" t="n"/>
      <c r="F964" s="28" t="n"/>
    </row>
    <row r="965">
      <c r="A965" s="27" t="n"/>
      <c r="B965" s="28" t="n"/>
      <c r="C965" s="28" t="n"/>
      <c r="D965" s="29" t="n"/>
      <c r="E965" s="28" t="n"/>
      <c r="F965" s="28" t="n"/>
    </row>
    <row r="966">
      <c r="A966" s="27" t="n"/>
      <c r="B966" s="28" t="n"/>
      <c r="C966" s="28" t="n"/>
      <c r="D966" s="29" t="n"/>
      <c r="E966" s="28" t="n"/>
      <c r="F966" s="28" t="n"/>
    </row>
    <row r="967">
      <c r="A967" s="27" t="n"/>
      <c r="B967" s="28" t="n"/>
      <c r="C967" s="28" t="n"/>
      <c r="D967" s="29" t="n"/>
      <c r="E967" s="28" t="n"/>
      <c r="F967" s="28" t="n"/>
    </row>
    <row r="968">
      <c r="A968" s="27" t="n"/>
      <c r="B968" s="28" t="n"/>
      <c r="C968" s="28" t="n"/>
      <c r="D968" s="29" t="n"/>
      <c r="E968" s="28" t="n"/>
      <c r="F968" s="28" t="n"/>
    </row>
    <row r="969">
      <c r="A969" s="27" t="n"/>
      <c r="B969" s="28" t="n"/>
      <c r="C969" s="28" t="n"/>
      <c r="D969" s="29" t="n"/>
      <c r="E969" s="28" t="n"/>
      <c r="F969" s="28" t="n"/>
    </row>
    <row r="970">
      <c r="A970" s="27" t="n"/>
      <c r="B970" s="28" t="n"/>
      <c r="C970" s="28" t="n"/>
      <c r="D970" s="29" t="n"/>
      <c r="E970" s="28" t="n"/>
      <c r="F970" s="28" t="n"/>
    </row>
    <row r="971">
      <c r="A971" s="27" t="n"/>
      <c r="B971" s="28" t="n"/>
      <c r="C971" s="28" t="n"/>
      <c r="D971" s="29" t="n"/>
      <c r="E971" s="28" t="n"/>
      <c r="F971" s="28" t="n"/>
    </row>
    <row r="972">
      <c r="A972" s="27" t="n"/>
      <c r="B972" s="28" t="n"/>
      <c r="C972" s="28" t="n"/>
      <c r="D972" s="29" t="n"/>
      <c r="E972" s="28" t="n"/>
      <c r="F972" s="28" t="n"/>
    </row>
    <row r="973">
      <c r="A973" s="27" t="n"/>
      <c r="B973" s="28" t="n"/>
      <c r="C973" s="28" t="n"/>
      <c r="D973" s="29" t="n"/>
      <c r="E973" s="28" t="n"/>
      <c r="F973" s="28" t="n"/>
    </row>
    <row r="974">
      <c r="A974" s="27" t="n"/>
      <c r="B974" s="28" t="n"/>
      <c r="C974" s="28" t="n"/>
      <c r="D974" s="29" t="n"/>
      <c r="E974" s="28" t="n"/>
      <c r="F974" s="28" t="n"/>
    </row>
    <row r="975">
      <c r="A975" s="27" t="n"/>
      <c r="B975" s="28" t="n"/>
      <c r="C975" s="28" t="n"/>
      <c r="D975" s="29" t="n"/>
      <c r="E975" s="28" t="n"/>
      <c r="F975" s="28" t="n"/>
    </row>
    <row r="976">
      <c r="A976" s="27" t="n"/>
      <c r="B976" s="28" t="n"/>
      <c r="C976" s="28" t="n"/>
      <c r="D976" s="29" t="n"/>
      <c r="E976" s="28" t="n"/>
      <c r="F976" s="28" t="n"/>
    </row>
    <row r="977">
      <c r="A977" s="27" t="n"/>
      <c r="B977" s="28" t="n"/>
      <c r="C977" s="28" t="n"/>
      <c r="D977" s="29" t="n"/>
      <c r="E977" s="28" t="n"/>
      <c r="F977" s="28" t="n"/>
    </row>
    <row r="978">
      <c r="A978" s="27" t="n"/>
      <c r="B978" s="28" t="n"/>
      <c r="C978" s="28" t="n"/>
      <c r="D978" s="29" t="n"/>
      <c r="E978" s="28" t="n"/>
      <c r="F978" s="28" t="n"/>
    </row>
    <row r="979">
      <c r="A979" s="27" t="n"/>
      <c r="B979" s="28" t="n"/>
      <c r="C979" s="28" t="n"/>
      <c r="D979" s="29" t="n"/>
      <c r="E979" s="28" t="n"/>
      <c r="F979" s="28" t="n"/>
    </row>
    <row r="980">
      <c r="A980" s="27" t="n"/>
      <c r="B980" s="28" t="n"/>
      <c r="C980" s="28" t="n"/>
      <c r="D980" s="29" t="n"/>
      <c r="E980" s="28" t="n"/>
      <c r="F980" s="28" t="n"/>
    </row>
    <row r="981">
      <c r="A981" s="27" t="n"/>
      <c r="B981" s="28" t="n"/>
      <c r="C981" s="28" t="n"/>
      <c r="D981" s="29" t="n"/>
      <c r="E981" s="28" t="n"/>
      <c r="F981" s="28" t="n"/>
    </row>
    <row r="982">
      <c r="A982" s="27" t="n"/>
      <c r="B982" s="28" t="n"/>
      <c r="C982" s="28" t="n"/>
      <c r="D982" s="29" t="n"/>
      <c r="E982" s="28" t="n"/>
      <c r="F982" s="28" t="n"/>
    </row>
    <row r="983">
      <c r="A983" s="27" t="n"/>
      <c r="B983" s="28" t="n"/>
      <c r="C983" s="28" t="n"/>
      <c r="D983" s="29" t="n"/>
      <c r="E983" s="28" t="n"/>
      <c r="F983" s="28" t="n"/>
    </row>
    <row r="984">
      <c r="A984" s="27" t="n"/>
      <c r="B984" s="28" t="n"/>
      <c r="C984" s="28" t="n"/>
      <c r="D984" s="29" t="n"/>
      <c r="E984" s="28" t="n"/>
      <c r="F984" s="28" t="n"/>
    </row>
    <row r="985">
      <c r="A985" s="27" t="n"/>
      <c r="B985" s="28" t="n"/>
      <c r="C985" s="28" t="n"/>
      <c r="D985" s="29" t="n"/>
      <c r="E985" s="28" t="n"/>
      <c r="F985" s="28" t="n"/>
    </row>
    <row r="986">
      <c r="A986" s="27" t="n"/>
      <c r="B986" s="28" t="n"/>
      <c r="C986" s="28" t="n"/>
      <c r="D986" s="29" t="n"/>
      <c r="E986" s="28" t="n"/>
      <c r="F986" s="28" t="n"/>
    </row>
    <row r="987">
      <c r="A987" s="27" t="n"/>
      <c r="B987" s="28" t="n"/>
      <c r="C987" s="28" t="n"/>
      <c r="D987" s="29" t="n"/>
      <c r="E987" s="28" t="n"/>
      <c r="F987" s="28" t="n"/>
    </row>
    <row r="988">
      <c r="A988" s="27" t="n"/>
      <c r="B988" s="28" t="n"/>
      <c r="C988" s="28" t="n"/>
      <c r="D988" s="29" t="n"/>
      <c r="E988" s="28" t="n"/>
      <c r="F988" s="28" t="n"/>
    </row>
    <row r="989">
      <c r="A989" s="27" t="n"/>
      <c r="B989" s="28" t="n"/>
      <c r="C989" s="28" t="n"/>
      <c r="D989" s="29" t="n"/>
      <c r="E989" s="28" t="n"/>
      <c r="F989" s="28" t="n"/>
    </row>
    <row r="990">
      <c r="A990" s="27" t="n"/>
      <c r="B990" s="28" t="n"/>
      <c r="C990" s="28" t="n"/>
      <c r="D990" s="29" t="n"/>
      <c r="E990" s="28" t="n"/>
      <c r="F990" s="28" t="n"/>
    </row>
    <row r="991">
      <c r="A991" s="27" t="n"/>
      <c r="B991" s="28" t="n"/>
      <c r="C991" s="28" t="n"/>
      <c r="D991" s="29" t="n"/>
      <c r="E991" s="28" t="n"/>
      <c r="F991" s="28" t="n"/>
    </row>
    <row r="992">
      <c r="A992" s="27" t="n"/>
      <c r="B992" s="28" t="n"/>
      <c r="C992" s="28" t="n"/>
      <c r="D992" s="29" t="n"/>
      <c r="E992" s="28" t="n"/>
      <c r="F992" s="28" t="n"/>
    </row>
    <row r="993">
      <c r="A993" s="27" t="n"/>
      <c r="B993" s="28" t="n"/>
      <c r="C993" s="28" t="n"/>
      <c r="D993" s="29" t="n"/>
      <c r="E993" s="28" t="n"/>
      <c r="F993" s="28" t="n"/>
    </row>
    <row r="994">
      <c r="A994" s="27" t="n"/>
      <c r="B994" s="28" t="n"/>
      <c r="C994" s="28" t="n"/>
      <c r="D994" s="29" t="n"/>
      <c r="E994" s="28" t="n"/>
      <c r="F994" s="28" t="n"/>
    </row>
    <row r="995">
      <c r="A995" s="27" t="n"/>
      <c r="B995" s="28" t="n"/>
      <c r="C995" s="28" t="n"/>
      <c r="D995" s="29" t="n"/>
      <c r="E995" s="28" t="n"/>
      <c r="F995" s="28" t="n"/>
    </row>
    <row r="996">
      <c r="A996" s="27" t="n"/>
      <c r="B996" s="28" t="n"/>
      <c r="C996" s="28" t="n"/>
      <c r="D996" s="29" t="n"/>
      <c r="E996" s="28" t="n"/>
      <c r="F996" s="28" t="n"/>
    </row>
    <row r="997">
      <c r="A997" s="27" t="n"/>
      <c r="B997" s="28" t="n"/>
      <c r="C997" s="28" t="n"/>
      <c r="D997" s="29" t="n"/>
      <c r="E997" s="28" t="n"/>
      <c r="F997" s="28" t="n"/>
    </row>
    <row r="998">
      <c r="A998" s="27" t="n"/>
      <c r="B998" s="28" t="n"/>
      <c r="C998" s="28" t="n"/>
      <c r="D998" s="29" t="n"/>
      <c r="E998" s="28" t="n"/>
      <c r="F998" s="28" t="n"/>
    </row>
    <row r="999">
      <c r="A999" s="27" t="n"/>
      <c r="B999" s="28" t="n"/>
      <c r="C999" s="28" t="n"/>
      <c r="D999" s="29" t="n"/>
      <c r="E999" s="28" t="n"/>
      <c r="F999" s="28" t="n"/>
    </row>
    <row r="1000">
      <c r="A1000" s="27" t="n"/>
      <c r="B1000" s="28" t="n"/>
      <c r="C1000" s="28" t="n"/>
      <c r="D1000" s="29" t="n"/>
      <c r="E1000" s="28" t="n"/>
      <c r="F1000" s="28" t="n"/>
    </row>
    <row r="1001">
      <c r="A1001" s="27" t="n"/>
      <c r="B1001" s="28" t="n"/>
      <c r="C1001" s="28" t="n"/>
      <c r="D1001" s="29" t="n"/>
      <c r="E1001" s="28" t="n"/>
      <c r="F1001" s="28" t="n"/>
    </row>
  </sheetData>
  <autoFilter ref="A1:F1001"/>
  <dataValidations count="2">
    <dataValidation sqref="B2:B1001" showDropDown="0" showInputMessage="0" showErrorMessage="0" allowBlank="1" type="list">
      <formula1>='Stock list'!$A$2:$A$301</formula1>
    </dataValidation>
    <dataValidation sqref="C2:C1001" showDropDown="0" showInputMessage="0" showErrorMessage="0" allowBlank="1" type="list">
      <formula1>"Received,Count,Used,Adjustment,Stock-out,Ordered"</formula1>
    </dataValidation>
  </dataValidations>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A1:AL3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34" customWidth="1" min="1" max="1"/>
    <col width="11" customWidth="1" min="2" max="2"/>
    <col width="9" customWidth="1" min="3" max="3"/>
    <col width="9" customWidth="1" min="4" max="4"/>
    <col width="9" customWidth="1" min="5" max="5"/>
    <col width="9" customWidth="1" min="6" max="6"/>
    <col width="22" customWidth="1" min="7" max="7"/>
    <col width="22" customWidth="1" min="8" max="8"/>
    <col width="14" customWidth="1" min="9" max="9"/>
    <col width="12" customWidth="1" min="10" max="10"/>
    <col width="9" customWidth="1" min="11" max="11"/>
    <col width="10" customWidth="1" min="12" max="12"/>
    <col width="18" customWidth="1" min="13" max="13"/>
    <col width="14" customWidth="1" min="14" max="14"/>
    <col width="9" customWidth="1" min="15" max="15"/>
    <col width="10" customWidth="1" min="16" max="16"/>
    <col width="9" customWidth="1" min="17" max="17"/>
    <col width="9" customWidth="1" min="18" max="18"/>
    <col width="11" customWidth="1" min="19" max="19"/>
    <col width="9" customWidth="1" min="20" max="20"/>
    <col width="11" customWidth="1" min="21" max="21"/>
    <col width="11" customWidth="1" min="22" max="22"/>
    <col width="10" customWidth="1" min="23" max="23"/>
    <col width="10" customWidth="1" min="24" max="24"/>
    <col width="10" customWidth="1" min="25" max="25"/>
    <col width="9" customWidth="1" min="26" max="26"/>
    <col width="11" customWidth="1" min="27" max="27"/>
    <col width="11" customWidth="1" min="28" max="28"/>
    <col width="12" customWidth="1" min="29" max="29"/>
    <col width="11" customWidth="1" min="30" max="30"/>
    <col hidden="1" width="6" customWidth="1" min="31" max="31"/>
    <col hidden="1" width="8" customWidth="1" min="32" max="32"/>
    <col hidden="1" width="6" customWidth="1" min="33" max="33"/>
    <col hidden="1" width="6" customWidth="1" min="34" max="34"/>
    <col hidden="1" width="20" customWidth="1" min="35" max="35"/>
    <col hidden="1" width="8" customWidth="1" min="36" max="36"/>
    <col hidden="1" width="6" customWidth="1" min="37" max="37"/>
    <col hidden="1" width="10" customWidth="1" min="38" max="38"/>
  </cols>
  <sheetData>
    <row r="1" ht="42" customHeight="1">
      <c r="A1" s="5" t="inlineStr">
        <is>
          <t>Item</t>
        </is>
      </c>
      <c r="B1" s="5" t="inlineStr">
        <is>
          <t>Status</t>
        </is>
      </c>
      <c r="C1" s="5" t="inlineStr">
        <is>
          <t>Stock now</t>
        </is>
      </c>
      <c r="D1" s="5" t="inlineStr">
        <is>
          <t>Reorder point</t>
        </is>
      </c>
      <c r="E1" s="5" t="inlineStr">
        <is>
          <t>Weeks of cover</t>
        </is>
      </c>
      <c r="F1" s="5" t="inlineStr">
        <is>
          <t>On order</t>
        </is>
      </c>
      <c r="G1" s="5" t="inlineStr">
        <is>
          <t>Category</t>
        </is>
      </c>
      <c r="H1" s="5" t="inlineStr">
        <is>
          <t>Supplier</t>
        </is>
      </c>
      <c r="I1" s="5" t="inlineStr">
        <is>
          <t>Catalogue no.</t>
        </is>
      </c>
      <c r="J1" s="5" t="inlineStr">
        <is>
          <t>Pack size</t>
        </is>
      </c>
      <c r="K1" s="5" t="inlineStr">
        <is>
          <t>Unit</t>
        </is>
      </c>
      <c r="L1" s="5" t="inlineStr">
        <is>
          <t>Unit cost</t>
        </is>
      </c>
      <c r="M1" s="5" t="inlineStr">
        <is>
          <t>Location</t>
        </is>
      </c>
      <c r="N1" s="5" t="inlineStr">
        <is>
          <t>Owner</t>
        </is>
      </c>
      <c r="O1" s="5" t="inlineStr">
        <is>
          <t>Use per week</t>
        </is>
      </c>
      <c r="P1" s="5" t="inlineStr">
        <is>
          <t>Lead time override, days</t>
        </is>
      </c>
      <c r="Q1" s="5" t="inlineStr">
        <is>
          <t>Lead time, days</t>
        </is>
      </c>
      <c r="R1" s="5" t="inlineStr">
        <is>
          <t>Counted</t>
        </is>
      </c>
      <c r="S1" s="5" t="inlineStr">
        <is>
          <t>Counted on</t>
        </is>
      </c>
      <c r="T1" s="5" t="inlineStr">
        <is>
          <t>Ordered qty</t>
        </is>
      </c>
      <c r="U1" s="5" t="inlineStr">
        <is>
          <t>Last ordered</t>
        </is>
      </c>
      <c r="V1" s="5" t="inlineStr">
        <is>
          <t>Expiry</t>
        </is>
      </c>
      <c r="W1" s="5" t="inlineStr">
        <is>
          <t>Reorder point, calculated</t>
        </is>
      </c>
      <c r="X1" s="5" t="inlineStr">
        <is>
          <t>Reorder point override</t>
        </is>
      </c>
      <c r="Y1" s="5" t="inlineStr">
        <is>
          <t>Order qty override</t>
        </is>
      </c>
      <c r="Z1" s="5" t="inlineStr">
        <is>
          <t>Order qty</t>
        </is>
      </c>
      <c r="AA1" s="5" t="inlineStr">
        <is>
          <t>Last count date</t>
        </is>
      </c>
      <c r="AB1" s="5" t="inlineStr">
        <is>
          <t>Order line £</t>
        </is>
      </c>
      <c r="AC1" s="5" t="inlineStr">
        <is>
          <t>Annual spend £</t>
        </is>
      </c>
      <c r="AD1" s="5" t="inlineStr">
        <is>
          <t>Stock value £</t>
        </is>
      </c>
      <c r="AE1" s="5" t="inlineStr">
        <is>
          <t>InList</t>
        </is>
      </c>
      <c r="AF1" s="5" t="inlineStr">
        <is>
          <t>OrderKey</t>
        </is>
      </c>
      <c r="AG1" s="5" t="inlineStr">
        <is>
          <t>OrderRank</t>
        </is>
      </c>
      <c r="AH1" s="5" t="inlineStr">
        <is>
          <t>Count?</t>
        </is>
      </c>
      <c r="AI1" s="5" t="inlineStr">
        <is>
          <t>CountReason</t>
        </is>
      </c>
      <c r="AJ1" s="5" t="inlineStr">
        <is>
          <t>CountKey</t>
        </is>
      </c>
      <c r="AK1" s="5" t="inlineStr">
        <is>
          <t>CountRank</t>
        </is>
      </c>
      <c r="AL1" s="5" t="inlineStr">
        <is>
          <t>SpendKey</t>
        </is>
      </c>
    </row>
    <row r="2">
      <c r="A2" s="24" t="inlineStr">
        <is>
          <t>Anti-CD3 antibody, 100 µg (example)</t>
        </is>
      </c>
      <c r="B2" s="30">
        <f>IF(A2="","",IF(AA2=0,"No count",IF(AND(N(O2)&gt;0,C2/O2*7&lt;Q2),"Critical",IF(F2&gt;0,"On order",IF(AND(D2&gt;0,C2&lt;=D2),"Order now","OK")))))</f>
        <v/>
      </c>
      <c r="C2" s="31">
        <f>IF(A2="","",MAX(0,IF(_xlfn.MAXIFS(Log!$A$2:$A$1001,Log!$B$2:$B$1001,A2,Log!$C$2:$C$1001,"Count")&gt;N(S2),_xlfn.MAXIFS(Log!$D$2:$D$1001,Log!$B$2:$B$1001,A2,Log!$C$2:$C$1001,"Count",Log!$A$2:$A$1001,AA2),N(R2))+SUMIFS(Log!$D$2:$D$1001,Log!$B$2:$B$1001,A2,Log!$C$2:$C$1001,"Received",Log!$A$2:$A$1001,"&gt;"&amp;AA2)-SUMIFS(Log!$D$2:$D$1001,Log!$B$2:$B$1001,A2,Log!$C$2:$C$1001,"Used",Log!$A$2:$A$1001,"&gt;"&amp;AA2)+SUMIFS(Log!$D$2:$D$1001,Log!$B$2:$B$1001,A2,Log!$C$2:$C$1001,"Adjustment",Log!$A$2:$A$1001,"&gt;"&amp;AA2)))</f>
        <v/>
      </c>
      <c r="D2" s="32">
        <f>IF(A2="","",IF(X2&lt;&gt;"",X2,W2))</f>
        <v/>
      </c>
      <c r="E2" s="33">
        <f>IF(OR(A2="",N(O2)=0),"",C2/O2)</f>
        <v/>
      </c>
      <c r="F2" s="31">
        <f>IF(A2="","",MAX(0,N(T2)-SUMIFS(Log!$D$2:$D$1001,Log!$B$2:$B$1001,A2,Log!$C$2:$C$1001,"Received",Log!$A$2:$A$1001,"&gt;="&amp;N(U2))))</f>
        <v/>
      </c>
      <c r="G2" s="24" t="inlineStr">
        <is>
          <t>Reagents &amp; kits</t>
        </is>
      </c>
      <c r="H2" s="24" t="inlineStr">
        <is>
          <t>Example Scientific</t>
        </is>
      </c>
      <c r="I2" s="24" t="inlineStr">
        <is>
          <t>AB-100302</t>
        </is>
      </c>
      <c r="J2" s="24" t="inlineStr">
        <is>
          <t>100 µg</t>
        </is>
      </c>
      <c r="K2" s="24" t="inlineStr">
        <is>
          <t>vial</t>
        </is>
      </c>
      <c r="L2" s="34" t="n">
        <v>60</v>
      </c>
      <c r="M2" s="24" t="inlineStr">
        <is>
          <t>Fridge 1 (4 °C)</t>
        </is>
      </c>
      <c r="N2" s="24" t="inlineStr">
        <is>
          <t>Alex (example)</t>
        </is>
      </c>
      <c r="O2" s="35" t="n">
        <v>3.5</v>
      </c>
      <c r="P2" s="25" t="n">
        <v>10</v>
      </c>
      <c r="Q2" s="36">
        <f>IF(A2="","",IF(P2&lt;&gt;"",P2,IFERROR(IF(N(INDEX(Suppliers!$E$5:$E$24,MATCH(H2,Suppliers!$B$5:$B$24,0)))&gt;0,INDEX(Suppliers!$E$5:$E$24,MATCH(H2,Suppliers!$B$5:$B$24,0)),5),5)))</f>
        <v/>
      </c>
      <c r="R2" s="35" t="n">
        <v>2</v>
      </c>
      <c r="S2" s="37" t="n">
        <v>46311</v>
      </c>
      <c r="T2" s="25" t="n"/>
      <c r="U2" s="37" t="n"/>
      <c r="V2" s="37" t="n"/>
      <c r="W2" s="36">
        <f>IF(A2="","",ROUNDUP(N(O2)*(Q2/7+Settings!$C$5),0))</f>
        <v/>
      </c>
      <c r="X2" s="25" t="n"/>
      <c r="Y2" s="25" t="n"/>
      <c r="Z2" s="32">
        <f>IF(A2="","",IF(Y2&lt;&gt;"",Y2,MAX(1,ROUNDUP(N(O2)*Settings!$C$7,0))))</f>
        <v/>
      </c>
      <c r="AA2" s="38">
        <f>IF(A2="","",MAX(N(S2),_xlfn.MAXIFS(Log!$A$2:$A$1001,Log!$B$2:$B$1001,A2,Log!$C$2:$C$1001,"Count")))</f>
        <v/>
      </c>
      <c r="AB2" s="39">
        <f>IF(A2="","",Z2*N(L2))</f>
        <v/>
      </c>
      <c r="AC2" s="40">
        <f>IF(A2="","",N(O2)*52*N(L2))</f>
        <v/>
      </c>
      <c r="AD2" s="39">
        <f>IF(A2="","",C2*N(L2))</f>
        <v/>
      </c>
      <c r="AE2" s="41">
        <f>IF(A2="",0,IF(AND(OR(B2="Order now",B2="Critical"),F2=0),1,0))</f>
        <v/>
      </c>
      <c r="AF2" s="41">
        <f>IF(AE2=1,IFERROR(MATCH(H2,Suppliers!$B$5:$B$24,0),99)*1000+ROW(),"")</f>
        <v/>
      </c>
      <c r="AG2" s="41">
        <f>IF(AF2="","",COUNTIF('Stock list'!$AF$2:$AF$301,"&lt;"&amp;AF2)+1)</f>
        <v/>
      </c>
      <c r="AH2" s="41">
        <f>IF(A2="",0,IF(OR(AA2=0,AND(B2="OK",OR(C2&lt;=D2+N(O2)*Settings!$C$6,Settings!$C$10-AA2&gt;Settings!$C$8*7))),1,0))</f>
        <v/>
      </c>
      <c r="AI2" s="41">
        <f>IF(AH2=0,"",IF(AA2=0,"Never counted",IF(C2&lt;=D2+N(O2)*Settings!$C$6,"Near the reorder point","Not counted for "&amp;INT((Settings!$C$10-AA2)/7)&amp;" weeks")))</f>
        <v/>
      </c>
      <c r="AJ2" s="41">
        <f>IF(AH2=1,IFERROR(MATCH(M2,Settings!$G$19:$G$38,0),99)*1000+ROW(),"")</f>
        <v/>
      </c>
      <c r="AK2" s="41">
        <f>IF(AJ2="","",COUNTIF('Stock list'!$AJ$2:$AJ$301,"&lt;"&amp;AJ2)+1)</f>
        <v/>
      </c>
      <c r="AL2" s="41">
        <f>IF(OR(A2="",N(AC2)=0),"",AC2+ROW()/1000000)</f>
        <v/>
      </c>
    </row>
    <row r="3">
      <c r="A3" s="24" t="inlineStr">
        <is>
          <t>Filter tips, 200 µL (example)</t>
        </is>
      </c>
      <c r="B3" s="30">
        <f>IF(A3="","",IF(AA3=0,"No count",IF(AND(N(O3)&gt;0,C3/O3*7&lt;Q3),"Critical",IF(F3&gt;0,"On order",IF(AND(D3&gt;0,C3&lt;=D3),"Order now","OK")))))</f>
        <v/>
      </c>
      <c r="C3" s="31">
        <f>IF(A3="","",MAX(0,IF(_xlfn.MAXIFS(Log!$A$2:$A$1001,Log!$B$2:$B$1001,A3,Log!$C$2:$C$1001,"Count")&gt;N(S3),_xlfn.MAXIFS(Log!$D$2:$D$1001,Log!$B$2:$B$1001,A3,Log!$C$2:$C$1001,"Count",Log!$A$2:$A$1001,AA3),N(R3))+SUMIFS(Log!$D$2:$D$1001,Log!$B$2:$B$1001,A3,Log!$C$2:$C$1001,"Received",Log!$A$2:$A$1001,"&gt;"&amp;AA3)-SUMIFS(Log!$D$2:$D$1001,Log!$B$2:$B$1001,A3,Log!$C$2:$C$1001,"Used",Log!$A$2:$A$1001,"&gt;"&amp;AA3)+SUMIFS(Log!$D$2:$D$1001,Log!$B$2:$B$1001,A3,Log!$C$2:$C$1001,"Adjustment",Log!$A$2:$A$1001,"&gt;"&amp;AA3)))</f>
        <v/>
      </c>
      <c r="D3" s="32">
        <f>IF(A3="","",IF(X3&lt;&gt;"",X3,W3))</f>
        <v/>
      </c>
      <c r="E3" s="33">
        <f>IF(OR(A3="",N(O3)=0),"",C3/O3)</f>
        <v/>
      </c>
      <c r="F3" s="31">
        <f>IF(A3="","",MAX(0,N(T3)-SUMIFS(Log!$D$2:$D$1001,Log!$B$2:$B$1001,A3,Log!$C$2:$C$1001,"Received",Log!$A$2:$A$1001,"&gt;="&amp;N(U3))))</f>
        <v/>
      </c>
      <c r="G3" s="24" t="inlineStr">
        <is>
          <t>Consumables &amp; plastics</t>
        </is>
      </c>
      <c r="H3" s="24" t="inlineStr">
        <is>
          <t>Example Scientific</t>
        </is>
      </c>
      <c r="I3" s="24" t="inlineStr">
        <is>
          <t>TP-200F</t>
        </is>
      </c>
      <c r="J3" s="24" t="inlineStr">
        <is>
          <t>960 tips</t>
        </is>
      </c>
      <c r="K3" s="24" t="inlineStr">
        <is>
          <t>case</t>
        </is>
      </c>
      <c r="L3" s="34" t="n">
        <v>48</v>
      </c>
      <c r="M3" s="24" t="inlineStr">
        <is>
          <t>Store room</t>
        </is>
      </c>
      <c r="N3" s="24" t="inlineStr">
        <is>
          <t>Alex (example)</t>
        </is>
      </c>
      <c r="O3" s="35" t="n">
        <v>1</v>
      </c>
      <c r="P3" s="25" t="n"/>
      <c r="Q3" s="36">
        <f>IF(A3="","",IF(P3&lt;&gt;"",P3,IFERROR(IF(N(INDEX(Suppliers!$E$5:$E$24,MATCH(H3,Suppliers!$B$5:$B$24,0)))&gt;0,INDEX(Suppliers!$E$5:$E$24,MATCH(H3,Suppliers!$B$5:$B$24,0)),5),5)))</f>
        <v/>
      </c>
      <c r="R3" s="35" t="n">
        <v>6</v>
      </c>
      <c r="S3" s="37" t="n">
        <v>46311</v>
      </c>
      <c r="T3" s="25" t="n"/>
      <c r="U3" s="37" t="n"/>
      <c r="V3" s="37" t="n"/>
      <c r="W3" s="36">
        <f>IF(A3="","",ROUNDUP(N(O3)*(Q3/7+Settings!$C$5),0))</f>
        <v/>
      </c>
      <c r="X3" s="25" t="n"/>
      <c r="Y3" s="25" t="n"/>
      <c r="Z3" s="32">
        <f>IF(A3="","",IF(Y3&lt;&gt;"",Y3,MAX(1,ROUNDUP(N(O3)*Settings!$C$7,0))))</f>
        <v/>
      </c>
      <c r="AA3" s="38">
        <f>IF(A3="","",MAX(N(S3),_xlfn.MAXIFS(Log!$A$2:$A$1001,Log!$B$2:$B$1001,A3,Log!$C$2:$C$1001,"Count")))</f>
        <v/>
      </c>
      <c r="AB3" s="39">
        <f>IF(A3="","",Z3*N(L3))</f>
        <v/>
      </c>
      <c r="AC3" s="40">
        <f>IF(A3="","",N(O3)*52*N(L3))</f>
        <v/>
      </c>
      <c r="AD3" s="39">
        <f>IF(A3="","",C3*N(L3))</f>
        <v/>
      </c>
      <c r="AE3" s="41">
        <f>IF(A3="",0,IF(AND(OR(B3="Order now",B3="Critical"),F3=0),1,0))</f>
        <v/>
      </c>
      <c r="AF3" s="41">
        <f>IF(AE3=1,IFERROR(MATCH(H3,Suppliers!$B$5:$B$24,0),99)*1000+ROW(),"")</f>
        <v/>
      </c>
      <c r="AG3" s="41">
        <f>IF(AF3="","",COUNTIF('Stock list'!$AF$2:$AF$301,"&lt;"&amp;AF3)+1)</f>
        <v/>
      </c>
      <c r="AH3" s="41">
        <f>IF(A3="",0,IF(OR(AA3=0,AND(B3="OK",OR(C3&lt;=D3+N(O3)*Settings!$C$6,Settings!$C$10-AA3&gt;Settings!$C$8*7))),1,0))</f>
        <v/>
      </c>
      <c r="AI3" s="41">
        <f>IF(AH3=0,"",IF(AA3=0,"Never counted",IF(C3&lt;=D3+N(O3)*Settings!$C$6,"Near the reorder point","Not counted for "&amp;INT((Settings!$C$10-AA3)/7)&amp;" weeks")))</f>
        <v/>
      </c>
      <c r="AJ3" s="41">
        <f>IF(AH3=1,IFERROR(MATCH(M3,Settings!$G$19:$G$38,0),99)*1000+ROW(),"")</f>
        <v/>
      </c>
      <c r="AK3" s="41">
        <f>IF(AJ3="","",COUNTIF('Stock list'!$AJ$2:$AJ$301,"&lt;"&amp;AJ3)+1)</f>
        <v/>
      </c>
      <c r="AL3" s="41">
        <f>IF(OR(A3="",N(AC3)=0),"",AC3+ROW()/1000000)</f>
        <v/>
      </c>
    </row>
    <row r="4">
      <c r="A4" s="24" t="n"/>
      <c r="B4" s="30">
        <f>IF(A4="","",IF(AA4=0,"No count",IF(AND(N(O4)&gt;0,C4/O4*7&lt;Q4),"Critical",IF(F4&gt;0,"On order",IF(AND(D4&gt;0,C4&lt;=D4),"Order now","OK")))))</f>
        <v/>
      </c>
      <c r="C4" s="31">
        <f>IF(A4="","",MAX(0,IF(_xlfn.MAXIFS(Log!$A$2:$A$1001,Log!$B$2:$B$1001,A4,Log!$C$2:$C$1001,"Count")&gt;N(S4),_xlfn.MAXIFS(Log!$D$2:$D$1001,Log!$B$2:$B$1001,A4,Log!$C$2:$C$1001,"Count",Log!$A$2:$A$1001,AA4),N(R4))+SUMIFS(Log!$D$2:$D$1001,Log!$B$2:$B$1001,A4,Log!$C$2:$C$1001,"Received",Log!$A$2:$A$1001,"&gt;"&amp;AA4)-SUMIFS(Log!$D$2:$D$1001,Log!$B$2:$B$1001,A4,Log!$C$2:$C$1001,"Used",Log!$A$2:$A$1001,"&gt;"&amp;AA4)+SUMIFS(Log!$D$2:$D$1001,Log!$B$2:$B$1001,A4,Log!$C$2:$C$1001,"Adjustment",Log!$A$2:$A$1001,"&gt;"&amp;AA4)))</f>
        <v/>
      </c>
      <c r="D4" s="32">
        <f>IF(A4="","",IF(X4&lt;&gt;"",X4,W4))</f>
        <v/>
      </c>
      <c r="E4" s="33">
        <f>IF(OR(A4="",N(O4)=0),"",C4/O4)</f>
        <v/>
      </c>
      <c r="F4" s="31">
        <f>IF(A4="","",MAX(0,N(T4)-SUMIFS(Log!$D$2:$D$1001,Log!$B$2:$B$1001,A4,Log!$C$2:$C$1001,"Received",Log!$A$2:$A$1001,"&gt;="&amp;N(U4))))</f>
        <v/>
      </c>
      <c r="G4" s="24" t="n"/>
      <c r="H4" s="24" t="n"/>
      <c r="I4" s="24" t="n"/>
      <c r="J4" s="24" t="n"/>
      <c r="K4" s="24" t="n"/>
      <c r="L4" s="34" t="n"/>
      <c r="M4" s="24" t="n"/>
      <c r="N4" s="24" t="n"/>
      <c r="O4" s="35" t="n"/>
      <c r="P4" s="25" t="n"/>
      <c r="Q4" s="36">
        <f>IF(A4="","",IF(P4&lt;&gt;"",P4,IFERROR(IF(N(INDEX(Suppliers!$E$5:$E$24,MATCH(H4,Suppliers!$B$5:$B$24,0)))&gt;0,INDEX(Suppliers!$E$5:$E$24,MATCH(H4,Suppliers!$B$5:$B$24,0)),5),5)))</f>
        <v/>
      </c>
      <c r="R4" s="35" t="n"/>
      <c r="S4" s="37" t="n"/>
      <c r="T4" s="25" t="n"/>
      <c r="U4" s="37" t="n"/>
      <c r="V4" s="37" t="n"/>
      <c r="W4" s="36">
        <f>IF(A4="","",ROUNDUP(N(O4)*(Q4/7+Settings!$C$5),0))</f>
        <v/>
      </c>
      <c r="X4" s="25" t="n"/>
      <c r="Y4" s="25" t="n"/>
      <c r="Z4" s="32">
        <f>IF(A4="","",IF(Y4&lt;&gt;"",Y4,MAX(1,ROUNDUP(N(O4)*Settings!$C$7,0))))</f>
        <v/>
      </c>
      <c r="AA4" s="38">
        <f>IF(A4="","",MAX(N(S4),_xlfn.MAXIFS(Log!$A$2:$A$1001,Log!$B$2:$B$1001,A4,Log!$C$2:$C$1001,"Count")))</f>
        <v/>
      </c>
      <c r="AB4" s="39">
        <f>IF(A4="","",Z4*N(L4))</f>
        <v/>
      </c>
      <c r="AC4" s="40">
        <f>IF(A4="","",N(O4)*52*N(L4))</f>
        <v/>
      </c>
      <c r="AD4" s="39">
        <f>IF(A4="","",C4*N(L4))</f>
        <v/>
      </c>
      <c r="AE4" s="41">
        <f>IF(A4="",0,IF(AND(OR(B4="Order now",B4="Critical"),F4=0),1,0))</f>
        <v/>
      </c>
      <c r="AF4" s="41">
        <f>IF(AE4=1,IFERROR(MATCH(H4,Suppliers!$B$5:$B$24,0),99)*1000+ROW(),"")</f>
        <v/>
      </c>
      <c r="AG4" s="41">
        <f>IF(AF4="","",COUNTIF('Stock list'!$AF$2:$AF$301,"&lt;"&amp;AF4)+1)</f>
        <v/>
      </c>
      <c r="AH4" s="41">
        <f>IF(A4="",0,IF(OR(AA4=0,AND(B4="OK",OR(C4&lt;=D4+N(O4)*Settings!$C$6,Settings!$C$10-AA4&gt;Settings!$C$8*7))),1,0))</f>
        <v/>
      </c>
      <c r="AI4" s="41">
        <f>IF(AH4=0,"",IF(AA4=0,"Never counted",IF(C4&lt;=D4+N(O4)*Settings!$C$6,"Near the reorder point","Not counted for "&amp;INT((Settings!$C$10-AA4)/7)&amp;" weeks")))</f>
        <v/>
      </c>
      <c r="AJ4" s="41">
        <f>IF(AH4=1,IFERROR(MATCH(M4,Settings!$G$19:$G$38,0),99)*1000+ROW(),"")</f>
        <v/>
      </c>
      <c r="AK4" s="41">
        <f>IF(AJ4="","",COUNTIF('Stock list'!$AJ$2:$AJ$301,"&lt;"&amp;AJ4)+1)</f>
        <v/>
      </c>
      <c r="AL4" s="41">
        <f>IF(OR(A4="",N(AC4)=0),"",AC4+ROW()/1000000)</f>
        <v/>
      </c>
    </row>
    <row r="5">
      <c r="A5" s="24" t="n"/>
      <c r="B5" s="30">
        <f>IF(A5="","",IF(AA5=0,"No count",IF(AND(N(O5)&gt;0,C5/O5*7&lt;Q5),"Critical",IF(F5&gt;0,"On order",IF(AND(D5&gt;0,C5&lt;=D5),"Order now","OK")))))</f>
        <v/>
      </c>
      <c r="C5" s="31">
        <f>IF(A5="","",MAX(0,IF(_xlfn.MAXIFS(Log!$A$2:$A$1001,Log!$B$2:$B$1001,A5,Log!$C$2:$C$1001,"Count")&gt;N(S5),_xlfn.MAXIFS(Log!$D$2:$D$1001,Log!$B$2:$B$1001,A5,Log!$C$2:$C$1001,"Count",Log!$A$2:$A$1001,AA5),N(R5))+SUMIFS(Log!$D$2:$D$1001,Log!$B$2:$B$1001,A5,Log!$C$2:$C$1001,"Received",Log!$A$2:$A$1001,"&gt;"&amp;AA5)-SUMIFS(Log!$D$2:$D$1001,Log!$B$2:$B$1001,A5,Log!$C$2:$C$1001,"Used",Log!$A$2:$A$1001,"&gt;"&amp;AA5)+SUMIFS(Log!$D$2:$D$1001,Log!$B$2:$B$1001,A5,Log!$C$2:$C$1001,"Adjustment",Log!$A$2:$A$1001,"&gt;"&amp;AA5)))</f>
        <v/>
      </c>
      <c r="D5" s="32">
        <f>IF(A5="","",IF(X5&lt;&gt;"",X5,W5))</f>
        <v/>
      </c>
      <c r="E5" s="33">
        <f>IF(OR(A5="",N(O5)=0),"",C5/O5)</f>
        <v/>
      </c>
      <c r="F5" s="31">
        <f>IF(A5="","",MAX(0,N(T5)-SUMIFS(Log!$D$2:$D$1001,Log!$B$2:$B$1001,A5,Log!$C$2:$C$1001,"Received",Log!$A$2:$A$1001,"&gt;="&amp;N(U5))))</f>
        <v/>
      </c>
      <c r="G5" s="24" t="n"/>
      <c r="H5" s="24" t="n"/>
      <c r="I5" s="24" t="n"/>
      <c r="J5" s="24" t="n"/>
      <c r="K5" s="24" t="n"/>
      <c r="L5" s="34" t="n"/>
      <c r="M5" s="24" t="n"/>
      <c r="N5" s="24" t="n"/>
      <c r="O5" s="35" t="n"/>
      <c r="P5" s="25" t="n"/>
      <c r="Q5" s="36">
        <f>IF(A5="","",IF(P5&lt;&gt;"",P5,IFERROR(IF(N(INDEX(Suppliers!$E$5:$E$24,MATCH(H5,Suppliers!$B$5:$B$24,0)))&gt;0,INDEX(Suppliers!$E$5:$E$24,MATCH(H5,Suppliers!$B$5:$B$24,0)),5),5)))</f>
        <v/>
      </c>
      <c r="R5" s="35" t="n"/>
      <c r="S5" s="37" t="n"/>
      <c r="T5" s="25" t="n"/>
      <c r="U5" s="37" t="n"/>
      <c r="V5" s="37" t="n"/>
      <c r="W5" s="36">
        <f>IF(A5="","",ROUNDUP(N(O5)*(Q5/7+Settings!$C$5),0))</f>
        <v/>
      </c>
      <c r="X5" s="25" t="n"/>
      <c r="Y5" s="25" t="n"/>
      <c r="Z5" s="32">
        <f>IF(A5="","",IF(Y5&lt;&gt;"",Y5,MAX(1,ROUNDUP(N(O5)*Settings!$C$7,0))))</f>
        <v/>
      </c>
      <c r="AA5" s="38">
        <f>IF(A5="","",MAX(N(S5),_xlfn.MAXIFS(Log!$A$2:$A$1001,Log!$B$2:$B$1001,A5,Log!$C$2:$C$1001,"Count")))</f>
        <v/>
      </c>
      <c r="AB5" s="39">
        <f>IF(A5="","",Z5*N(L5))</f>
        <v/>
      </c>
      <c r="AC5" s="40">
        <f>IF(A5="","",N(O5)*52*N(L5))</f>
        <v/>
      </c>
      <c r="AD5" s="39">
        <f>IF(A5="","",C5*N(L5))</f>
        <v/>
      </c>
      <c r="AE5" s="41">
        <f>IF(A5="",0,IF(AND(OR(B5="Order now",B5="Critical"),F5=0),1,0))</f>
        <v/>
      </c>
      <c r="AF5" s="41">
        <f>IF(AE5=1,IFERROR(MATCH(H5,Suppliers!$B$5:$B$24,0),99)*1000+ROW(),"")</f>
        <v/>
      </c>
      <c r="AG5" s="41">
        <f>IF(AF5="","",COUNTIF('Stock list'!$AF$2:$AF$301,"&lt;"&amp;AF5)+1)</f>
        <v/>
      </c>
      <c r="AH5" s="41">
        <f>IF(A5="",0,IF(OR(AA5=0,AND(B5="OK",OR(C5&lt;=D5+N(O5)*Settings!$C$6,Settings!$C$10-AA5&gt;Settings!$C$8*7))),1,0))</f>
        <v/>
      </c>
      <c r="AI5" s="41">
        <f>IF(AH5=0,"",IF(AA5=0,"Never counted",IF(C5&lt;=D5+N(O5)*Settings!$C$6,"Near the reorder point","Not counted for "&amp;INT((Settings!$C$10-AA5)/7)&amp;" weeks")))</f>
        <v/>
      </c>
      <c r="AJ5" s="41">
        <f>IF(AH5=1,IFERROR(MATCH(M5,Settings!$G$19:$G$38,0),99)*1000+ROW(),"")</f>
        <v/>
      </c>
      <c r="AK5" s="41">
        <f>IF(AJ5="","",COUNTIF('Stock list'!$AJ$2:$AJ$301,"&lt;"&amp;AJ5)+1)</f>
        <v/>
      </c>
      <c r="AL5" s="41">
        <f>IF(OR(A5="",N(AC5)=0),"",AC5+ROW()/1000000)</f>
        <v/>
      </c>
    </row>
    <row r="6">
      <c r="A6" s="24" t="n"/>
      <c r="B6" s="30">
        <f>IF(A6="","",IF(AA6=0,"No count",IF(AND(N(O6)&gt;0,C6/O6*7&lt;Q6),"Critical",IF(F6&gt;0,"On order",IF(AND(D6&gt;0,C6&lt;=D6),"Order now","OK")))))</f>
        <v/>
      </c>
      <c r="C6" s="31">
        <f>IF(A6="","",MAX(0,IF(_xlfn.MAXIFS(Log!$A$2:$A$1001,Log!$B$2:$B$1001,A6,Log!$C$2:$C$1001,"Count")&gt;N(S6),_xlfn.MAXIFS(Log!$D$2:$D$1001,Log!$B$2:$B$1001,A6,Log!$C$2:$C$1001,"Count",Log!$A$2:$A$1001,AA6),N(R6))+SUMIFS(Log!$D$2:$D$1001,Log!$B$2:$B$1001,A6,Log!$C$2:$C$1001,"Received",Log!$A$2:$A$1001,"&gt;"&amp;AA6)-SUMIFS(Log!$D$2:$D$1001,Log!$B$2:$B$1001,A6,Log!$C$2:$C$1001,"Used",Log!$A$2:$A$1001,"&gt;"&amp;AA6)+SUMIFS(Log!$D$2:$D$1001,Log!$B$2:$B$1001,A6,Log!$C$2:$C$1001,"Adjustment",Log!$A$2:$A$1001,"&gt;"&amp;AA6)))</f>
        <v/>
      </c>
      <c r="D6" s="32">
        <f>IF(A6="","",IF(X6&lt;&gt;"",X6,W6))</f>
        <v/>
      </c>
      <c r="E6" s="33">
        <f>IF(OR(A6="",N(O6)=0),"",C6/O6)</f>
        <v/>
      </c>
      <c r="F6" s="31">
        <f>IF(A6="","",MAX(0,N(T6)-SUMIFS(Log!$D$2:$D$1001,Log!$B$2:$B$1001,A6,Log!$C$2:$C$1001,"Received",Log!$A$2:$A$1001,"&gt;="&amp;N(U6))))</f>
        <v/>
      </c>
      <c r="G6" s="24" t="n"/>
      <c r="H6" s="24" t="n"/>
      <c r="I6" s="24" t="n"/>
      <c r="J6" s="24" t="n"/>
      <c r="K6" s="24" t="n"/>
      <c r="L6" s="34" t="n"/>
      <c r="M6" s="24" t="n"/>
      <c r="N6" s="24" t="n"/>
      <c r="O6" s="35" t="n"/>
      <c r="P6" s="25" t="n"/>
      <c r="Q6" s="36">
        <f>IF(A6="","",IF(P6&lt;&gt;"",P6,IFERROR(IF(N(INDEX(Suppliers!$E$5:$E$24,MATCH(H6,Suppliers!$B$5:$B$24,0)))&gt;0,INDEX(Suppliers!$E$5:$E$24,MATCH(H6,Suppliers!$B$5:$B$24,0)),5),5)))</f>
        <v/>
      </c>
      <c r="R6" s="35" t="n"/>
      <c r="S6" s="37" t="n"/>
      <c r="T6" s="25" t="n"/>
      <c r="U6" s="37" t="n"/>
      <c r="V6" s="37" t="n"/>
      <c r="W6" s="36">
        <f>IF(A6="","",ROUNDUP(N(O6)*(Q6/7+Settings!$C$5),0))</f>
        <v/>
      </c>
      <c r="X6" s="25" t="n"/>
      <c r="Y6" s="25" t="n"/>
      <c r="Z6" s="32">
        <f>IF(A6="","",IF(Y6&lt;&gt;"",Y6,MAX(1,ROUNDUP(N(O6)*Settings!$C$7,0))))</f>
        <v/>
      </c>
      <c r="AA6" s="38">
        <f>IF(A6="","",MAX(N(S6),_xlfn.MAXIFS(Log!$A$2:$A$1001,Log!$B$2:$B$1001,A6,Log!$C$2:$C$1001,"Count")))</f>
        <v/>
      </c>
      <c r="AB6" s="39">
        <f>IF(A6="","",Z6*N(L6))</f>
        <v/>
      </c>
      <c r="AC6" s="40">
        <f>IF(A6="","",N(O6)*52*N(L6))</f>
        <v/>
      </c>
      <c r="AD6" s="39">
        <f>IF(A6="","",C6*N(L6))</f>
        <v/>
      </c>
      <c r="AE6" s="41">
        <f>IF(A6="",0,IF(AND(OR(B6="Order now",B6="Critical"),F6=0),1,0))</f>
        <v/>
      </c>
      <c r="AF6" s="41">
        <f>IF(AE6=1,IFERROR(MATCH(H6,Suppliers!$B$5:$B$24,0),99)*1000+ROW(),"")</f>
        <v/>
      </c>
      <c r="AG6" s="41">
        <f>IF(AF6="","",COUNTIF('Stock list'!$AF$2:$AF$301,"&lt;"&amp;AF6)+1)</f>
        <v/>
      </c>
      <c r="AH6" s="41">
        <f>IF(A6="",0,IF(OR(AA6=0,AND(B6="OK",OR(C6&lt;=D6+N(O6)*Settings!$C$6,Settings!$C$10-AA6&gt;Settings!$C$8*7))),1,0))</f>
        <v/>
      </c>
      <c r="AI6" s="41">
        <f>IF(AH6=0,"",IF(AA6=0,"Never counted",IF(C6&lt;=D6+N(O6)*Settings!$C$6,"Near the reorder point","Not counted for "&amp;INT((Settings!$C$10-AA6)/7)&amp;" weeks")))</f>
        <v/>
      </c>
      <c r="AJ6" s="41">
        <f>IF(AH6=1,IFERROR(MATCH(M6,Settings!$G$19:$G$38,0),99)*1000+ROW(),"")</f>
        <v/>
      </c>
      <c r="AK6" s="41">
        <f>IF(AJ6="","",COUNTIF('Stock list'!$AJ$2:$AJ$301,"&lt;"&amp;AJ6)+1)</f>
        <v/>
      </c>
      <c r="AL6" s="41">
        <f>IF(OR(A6="",N(AC6)=0),"",AC6+ROW()/1000000)</f>
        <v/>
      </c>
    </row>
    <row r="7">
      <c r="A7" s="24" t="n"/>
      <c r="B7" s="30">
        <f>IF(A7="","",IF(AA7=0,"No count",IF(AND(N(O7)&gt;0,C7/O7*7&lt;Q7),"Critical",IF(F7&gt;0,"On order",IF(AND(D7&gt;0,C7&lt;=D7),"Order now","OK")))))</f>
        <v/>
      </c>
      <c r="C7" s="31">
        <f>IF(A7="","",MAX(0,IF(_xlfn.MAXIFS(Log!$A$2:$A$1001,Log!$B$2:$B$1001,A7,Log!$C$2:$C$1001,"Count")&gt;N(S7),_xlfn.MAXIFS(Log!$D$2:$D$1001,Log!$B$2:$B$1001,A7,Log!$C$2:$C$1001,"Count",Log!$A$2:$A$1001,AA7),N(R7))+SUMIFS(Log!$D$2:$D$1001,Log!$B$2:$B$1001,A7,Log!$C$2:$C$1001,"Received",Log!$A$2:$A$1001,"&gt;"&amp;AA7)-SUMIFS(Log!$D$2:$D$1001,Log!$B$2:$B$1001,A7,Log!$C$2:$C$1001,"Used",Log!$A$2:$A$1001,"&gt;"&amp;AA7)+SUMIFS(Log!$D$2:$D$1001,Log!$B$2:$B$1001,A7,Log!$C$2:$C$1001,"Adjustment",Log!$A$2:$A$1001,"&gt;"&amp;AA7)))</f>
        <v/>
      </c>
      <c r="D7" s="32">
        <f>IF(A7="","",IF(X7&lt;&gt;"",X7,W7))</f>
        <v/>
      </c>
      <c r="E7" s="33">
        <f>IF(OR(A7="",N(O7)=0),"",C7/O7)</f>
        <v/>
      </c>
      <c r="F7" s="31">
        <f>IF(A7="","",MAX(0,N(T7)-SUMIFS(Log!$D$2:$D$1001,Log!$B$2:$B$1001,A7,Log!$C$2:$C$1001,"Received",Log!$A$2:$A$1001,"&gt;="&amp;N(U7))))</f>
        <v/>
      </c>
      <c r="G7" s="24" t="n"/>
      <c r="H7" s="24" t="n"/>
      <c r="I7" s="24" t="n"/>
      <c r="J7" s="24" t="n"/>
      <c r="K7" s="24" t="n"/>
      <c r="L7" s="34" t="n"/>
      <c r="M7" s="24" t="n"/>
      <c r="N7" s="24" t="n"/>
      <c r="O7" s="35" t="n"/>
      <c r="P7" s="25" t="n"/>
      <c r="Q7" s="36">
        <f>IF(A7="","",IF(P7&lt;&gt;"",P7,IFERROR(IF(N(INDEX(Suppliers!$E$5:$E$24,MATCH(H7,Suppliers!$B$5:$B$24,0)))&gt;0,INDEX(Suppliers!$E$5:$E$24,MATCH(H7,Suppliers!$B$5:$B$24,0)),5),5)))</f>
        <v/>
      </c>
      <c r="R7" s="35" t="n"/>
      <c r="S7" s="37" t="n"/>
      <c r="T7" s="25" t="n"/>
      <c r="U7" s="37" t="n"/>
      <c r="V7" s="37" t="n"/>
      <c r="W7" s="36">
        <f>IF(A7="","",ROUNDUP(N(O7)*(Q7/7+Settings!$C$5),0))</f>
        <v/>
      </c>
      <c r="X7" s="25" t="n"/>
      <c r="Y7" s="25" t="n"/>
      <c r="Z7" s="32">
        <f>IF(A7="","",IF(Y7&lt;&gt;"",Y7,MAX(1,ROUNDUP(N(O7)*Settings!$C$7,0))))</f>
        <v/>
      </c>
      <c r="AA7" s="38">
        <f>IF(A7="","",MAX(N(S7),_xlfn.MAXIFS(Log!$A$2:$A$1001,Log!$B$2:$B$1001,A7,Log!$C$2:$C$1001,"Count")))</f>
        <v/>
      </c>
      <c r="AB7" s="39">
        <f>IF(A7="","",Z7*N(L7))</f>
        <v/>
      </c>
      <c r="AC7" s="40">
        <f>IF(A7="","",N(O7)*52*N(L7))</f>
        <v/>
      </c>
      <c r="AD7" s="39">
        <f>IF(A7="","",C7*N(L7))</f>
        <v/>
      </c>
      <c r="AE7" s="41">
        <f>IF(A7="",0,IF(AND(OR(B7="Order now",B7="Critical"),F7=0),1,0))</f>
        <v/>
      </c>
      <c r="AF7" s="41">
        <f>IF(AE7=1,IFERROR(MATCH(H7,Suppliers!$B$5:$B$24,0),99)*1000+ROW(),"")</f>
        <v/>
      </c>
      <c r="AG7" s="41">
        <f>IF(AF7="","",COUNTIF('Stock list'!$AF$2:$AF$301,"&lt;"&amp;AF7)+1)</f>
        <v/>
      </c>
      <c r="AH7" s="41">
        <f>IF(A7="",0,IF(OR(AA7=0,AND(B7="OK",OR(C7&lt;=D7+N(O7)*Settings!$C$6,Settings!$C$10-AA7&gt;Settings!$C$8*7))),1,0))</f>
        <v/>
      </c>
      <c r="AI7" s="41">
        <f>IF(AH7=0,"",IF(AA7=0,"Never counted",IF(C7&lt;=D7+N(O7)*Settings!$C$6,"Near the reorder point","Not counted for "&amp;INT((Settings!$C$10-AA7)/7)&amp;" weeks")))</f>
        <v/>
      </c>
      <c r="AJ7" s="41">
        <f>IF(AH7=1,IFERROR(MATCH(M7,Settings!$G$19:$G$38,0),99)*1000+ROW(),"")</f>
        <v/>
      </c>
      <c r="AK7" s="41">
        <f>IF(AJ7="","",COUNTIF('Stock list'!$AJ$2:$AJ$301,"&lt;"&amp;AJ7)+1)</f>
        <v/>
      </c>
      <c r="AL7" s="41">
        <f>IF(OR(A7="",N(AC7)=0),"",AC7+ROW()/1000000)</f>
        <v/>
      </c>
    </row>
    <row r="8">
      <c r="A8" s="24" t="n"/>
      <c r="B8" s="30">
        <f>IF(A8="","",IF(AA8=0,"No count",IF(AND(N(O8)&gt;0,C8/O8*7&lt;Q8),"Critical",IF(F8&gt;0,"On order",IF(AND(D8&gt;0,C8&lt;=D8),"Order now","OK")))))</f>
        <v/>
      </c>
      <c r="C8" s="31">
        <f>IF(A8="","",MAX(0,IF(_xlfn.MAXIFS(Log!$A$2:$A$1001,Log!$B$2:$B$1001,A8,Log!$C$2:$C$1001,"Count")&gt;N(S8),_xlfn.MAXIFS(Log!$D$2:$D$1001,Log!$B$2:$B$1001,A8,Log!$C$2:$C$1001,"Count",Log!$A$2:$A$1001,AA8),N(R8))+SUMIFS(Log!$D$2:$D$1001,Log!$B$2:$B$1001,A8,Log!$C$2:$C$1001,"Received",Log!$A$2:$A$1001,"&gt;"&amp;AA8)-SUMIFS(Log!$D$2:$D$1001,Log!$B$2:$B$1001,A8,Log!$C$2:$C$1001,"Used",Log!$A$2:$A$1001,"&gt;"&amp;AA8)+SUMIFS(Log!$D$2:$D$1001,Log!$B$2:$B$1001,A8,Log!$C$2:$C$1001,"Adjustment",Log!$A$2:$A$1001,"&gt;"&amp;AA8)))</f>
        <v/>
      </c>
      <c r="D8" s="32">
        <f>IF(A8="","",IF(X8&lt;&gt;"",X8,W8))</f>
        <v/>
      </c>
      <c r="E8" s="33">
        <f>IF(OR(A8="",N(O8)=0),"",C8/O8)</f>
        <v/>
      </c>
      <c r="F8" s="31">
        <f>IF(A8="","",MAX(0,N(T8)-SUMIFS(Log!$D$2:$D$1001,Log!$B$2:$B$1001,A8,Log!$C$2:$C$1001,"Received",Log!$A$2:$A$1001,"&gt;="&amp;N(U8))))</f>
        <v/>
      </c>
      <c r="G8" s="24" t="n"/>
      <c r="H8" s="24" t="n"/>
      <c r="I8" s="24" t="n"/>
      <c r="J8" s="24" t="n"/>
      <c r="K8" s="24" t="n"/>
      <c r="L8" s="34" t="n"/>
      <c r="M8" s="24" t="n"/>
      <c r="N8" s="24" t="n"/>
      <c r="O8" s="35" t="n"/>
      <c r="P8" s="25" t="n"/>
      <c r="Q8" s="36">
        <f>IF(A8="","",IF(P8&lt;&gt;"",P8,IFERROR(IF(N(INDEX(Suppliers!$E$5:$E$24,MATCH(H8,Suppliers!$B$5:$B$24,0)))&gt;0,INDEX(Suppliers!$E$5:$E$24,MATCH(H8,Suppliers!$B$5:$B$24,0)),5),5)))</f>
        <v/>
      </c>
      <c r="R8" s="35" t="n"/>
      <c r="S8" s="37" t="n"/>
      <c r="T8" s="25" t="n"/>
      <c r="U8" s="37" t="n"/>
      <c r="V8" s="37" t="n"/>
      <c r="W8" s="36">
        <f>IF(A8="","",ROUNDUP(N(O8)*(Q8/7+Settings!$C$5),0))</f>
        <v/>
      </c>
      <c r="X8" s="25" t="n"/>
      <c r="Y8" s="25" t="n"/>
      <c r="Z8" s="32">
        <f>IF(A8="","",IF(Y8&lt;&gt;"",Y8,MAX(1,ROUNDUP(N(O8)*Settings!$C$7,0))))</f>
        <v/>
      </c>
      <c r="AA8" s="38">
        <f>IF(A8="","",MAX(N(S8),_xlfn.MAXIFS(Log!$A$2:$A$1001,Log!$B$2:$B$1001,A8,Log!$C$2:$C$1001,"Count")))</f>
        <v/>
      </c>
      <c r="AB8" s="39">
        <f>IF(A8="","",Z8*N(L8))</f>
        <v/>
      </c>
      <c r="AC8" s="40">
        <f>IF(A8="","",N(O8)*52*N(L8))</f>
        <v/>
      </c>
      <c r="AD8" s="39">
        <f>IF(A8="","",C8*N(L8))</f>
        <v/>
      </c>
      <c r="AE8" s="41">
        <f>IF(A8="",0,IF(AND(OR(B8="Order now",B8="Critical"),F8=0),1,0))</f>
        <v/>
      </c>
      <c r="AF8" s="41">
        <f>IF(AE8=1,IFERROR(MATCH(H8,Suppliers!$B$5:$B$24,0),99)*1000+ROW(),"")</f>
        <v/>
      </c>
      <c r="AG8" s="41">
        <f>IF(AF8="","",COUNTIF('Stock list'!$AF$2:$AF$301,"&lt;"&amp;AF8)+1)</f>
        <v/>
      </c>
      <c r="AH8" s="41">
        <f>IF(A8="",0,IF(OR(AA8=0,AND(B8="OK",OR(C8&lt;=D8+N(O8)*Settings!$C$6,Settings!$C$10-AA8&gt;Settings!$C$8*7))),1,0))</f>
        <v/>
      </c>
      <c r="AI8" s="41">
        <f>IF(AH8=0,"",IF(AA8=0,"Never counted",IF(C8&lt;=D8+N(O8)*Settings!$C$6,"Near the reorder point","Not counted for "&amp;INT((Settings!$C$10-AA8)/7)&amp;" weeks")))</f>
        <v/>
      </c>
      <c r="AJ8" s="41">
        <f>IF(AH8=1,IFERROR(MATCH(M8,Settings!$G$19:$G$38,0),99)*1000+ROW(),"")</f>
        <v/>
      </c>
      <c r="AK8" s="41">
        <f>IF(AJ8="","",COUNTIF('Stock list'!$AJ$2:$AJ$301,"&lt;"&amp;AJ8)+1)</f>
        <v/>
      </c>
      <c r="AL8" s="41">
        <f>IF(OR(A8="",N(AC8)=0),"",AC8+ROW()/1000000)</f>
        <v/>
      </c>
    </row>
    <row r="9">
      <c r="A9" s="24" t="n"/>
      <c r="B9" s="30">
        <f>IF(A9="","",IF(AA9=0,"No count",IF(AND(N(O9)&gt;0,C9/O9*7&lt;Q9),"Critical",IF(F9&gt;0,"On order",IF(AND(D9&gt;0,C9&lt;=D9),"Order now","OK")))))</f>
        <v/>
      </c>
      <c r="C9" s="31">
        <f>IF(A9="","",MAX(0,IF(_xlfn.MAXIFS(Log!$A$2:$A$1001,Log!$B$2:$B$1001,A9,Log!$C$2:$C$1001,"Count")&gt;N(S9),_xlfn.MAXIFS(Log!$D$2:$D$1001,Log!$B$2:$B$1001,A9,Log!$C$2:$C$1001,"Count",Log!$A$2:$A$1001,AA9),N(R9))+SUMIFS(Log!$D$2:$D$1001,Log!$B$2:$B$1001,A9,Log!$C$2:$C$1001,"Received",Log!$A$2:$A$1001,"&gt;"&amp;AA9)-SUMIFS(Log!$D$2:$D$1001,Log!$B$2:$B$1001,A9,Log!$C$2:$C$1001,"Used",Log!$A$2:$A$1001,"&gt;"&amp;AA9)+SUMIFS(Log!$D$2:$D$1001,Log!$B$2:$B$1001,A9,Log!$C$2:$C$1001,"Adjustment",Log!$A$2:$A$1001,"&gt;"&amp;AA9)))</f>
        <v/>
      </c>
      <c r="D9" s="32">
        <f>IF(A9="","",IF(X9&lt;&gt;"",X9,W9))</f>
        <v/>
      </c>
      <c r="E9" s="33">
        <f>IF(OR(A9="",N(O9)=0),"",C9/O9)</f>
        <v/>
      </c>
      <c r="F9" s="31">
        <f>IF(A9="","",MAX(0,N(T9)-SUMIFS(Log!$D$2:$D$1001,Log!$B$2:$B$1001,A9,Log!$C$2:$C$1001,"Received",Log!$A$2:$A$1001,"&gt;="&amp;N(U9))))</f>
        <v/>
      </c>
      <c r="G9" s="24" t="n"/>
      <c r="H9" s="24" t="n"/>
      <c r="I9" s="24" t="n"/>
      <c r="J9" s="24" t="n"/>
      <c r="K9" s="24" t="n"/>
      <c r="L9" s="34" t="n"/>
      <c r="M9" s="24" t="n"/>
      <c r="N9" s="24" t="n"/>
      <c r="O9" s="35" t="n"/>
      <c r="P9" s="25" t="n"/>
      <c r="Q9" s="36">
        <f>IF(A9="","",IF(P9&lt;&gt;"",P9,IFERROR(IF(N(INDEX(Suppliers!$E$5:$E$24,MATCH(H9,Suppliers!$B$5:$B$24,0)))&gt;0,INDEX(Suppliers!$E$5:$E$24,MATCH(H9,Suppliers!$B$5:$B$24,0)),5),5)))</f>
        <v/>
      </c>
      <c r="R9" s="35" t="n"/>
      <c r="S9" s="37" t="n"/>
      <c r="T9" s="25" t="n"/>
      <c r="U9" s="37" t="n"/>
      <c r="V9" s="37" t="n"/>
      <c r="W9" s="36">
        <f>IF(A9="","",ROUNDUP(N(O9)*(Q9/7+Settings!$C$5),0))</f>
        <v/>
      </c>
      <c r="X9" s="25" t="n"/>
      <c r="Y9" s="25" t="n"/>
      <c r="Z9" s="32">
        <f>IF(A9="","",IF(Y9&lt;&gt;"",Y9,MAX(1,ROUNDUP(N(O9)*Settings!$C$7,0))))</f>
        <v/>
      </c>
      <c r="AA9" s="38">
        <f>IF(A9="","",MAX(N(S9),_xlfn.MAXIFS(Log!$A$2:$A$1001,Log!$B$2:$B$1001,A9,Log!$C$2:$C$1001,"Count")))</f>
        <v/>
      </c>
      <c r="AB9" s="39">
        <f>IF(A9="","",Z9*N(L9))</f>
        <v/>
      </c>
      <c r="AC9" s="40">
        <f>IF(A9="","",N(O9)*52*N(L9))</f>
        <v/>
      </c>
      <c r="AD9" s="39">
        <f>IF(A9="","",C9*N(L9))</f>
        <v/>
      </c>
      <c r="AE9" s="41">
        <f>IF(A9="",0,IF(AND(OR(B9="Order now",B9="Critical"),F9=0),1,0))</f>
        <v/>
      </c>
      <c r="AF9" s="41">
        <f>IF(AE9=1,IFERROR(MATCH(H9,Suppliers!$B$5:$B$24,0),99)*1000+ROW(),"")</f>
        <v/>
      </c>
      <c r="AG9" s="41">
        <f>IF(AF9="","",COUNTIF('Stock list'!$AF$2:$AF$301,"&lt;"&amp;AF9)+1)</f>
        <v/>
      </c>
      <c r="AH9" s="41">
        <f>IF(A9="",0,IF(OR(AA9=0,AND(B9="OK",OR(C9&lt;=D9+N(O9)*Settings!$C$6,Settings!$C$10-AA9&gt;Settings!$C$8*7))),1,0))</f>
        <v/>
      </c>
      <c r="AI9" s="41">
        <f>IF(AH9=0,"",IF(AA9=0,"Never counted",IF(C9&lt;=D9+N(O9)*Settings!$C$6,"Near the reorder point","Not counted for "&amp;INT((Settings!$C$10-AA9)/7)&amp;" weeks")))</f>
        <v/>
      </c>
      <c r="AJ9" s="41">
        <f>IF(AH9=1,IFERROR(MATCH(M9,Settings!$G$19:$G$38,0),99)*1000+ROW(),"")</f>
        <v/>
      </c>
      <c r="AK9" s="41">
        <f>IF(AJ9="","",COUNTIF('Stock list'!$AJ$2:$AJ$301,"&lt;"&amp;AJ9)+1)</f>
        <v/>
      </c>
      <c r="AL9" s="41">
        <f>IF(OR(A9="",N(AC9)=0),"",AC9+ROW()/1000000)</f>
        <v/>
      </c>
    </row>
    <row r="10">
      <c r="A10" s="24" t="n"/>
      <c r="B10" s="30">
        <f>IF(A10="","",IF(AA10=0,"No count",IF(AND(N(O10)&gt;0,C10/O10*7&lt;Q10),"Critical",IF(F10&gt;0,"On order",IF(AND(D10&gt;0,C10&lt;=D10),"Order now","OK")))))</f>
        <v/>
      </c>
      <c r="C10" s="31">
        <f>IF(A10="","",MAX(0,IF(_xlfn.MAXIFS(Log!$A$2:$A$1001,Log!$B$2:$B$1001,A10,Log!$C$2:$C$1001,"Count")&gt;N(S10),_xlfn.MAXIFS(Log!$D$2:$D$1001,Log!$B$2:$B$1001,A10,Log!$C$2:$C$1001,"Count",Log!$A$2:$A$1001,AA10),N(R10))+SUMIFS(Log!$D$2:$D$1001,Log!$B$2:$B$1001,A10,Log!$C$2:$C$1001,"Received",Log!$A$2:$A$1001,"&gt;"&amp;AA10)-SUMIFS(Log!$D$2:$D$1001,Log!$B$2:$B$1001,A10,Log!$C$2:$C$1001,"Used",Log!$A$2:$A$1001,"&gt;"&amp;AA10)+SUMIFS(Log!$D$2:$D$1001,Log!$B$2:$B$1001,A10,Log!$C$2:$C$1001,"Adjustment",Log!$A$2:$A$1001,"&gt;"&amp;AA10)))</f>
        <v/>
      </c>
      <c r="D10" s="32">
        <f>IF(A10="","",IF(X10&lt;&gt;"",X10,W10))</f>
        <v/>
      </c>
      <c r="E10" s="33">
        <f>IF(OR(A10="",N(O10)=0),"",C10/O10)</f>
        <v/>
      </c>
      <c r="F10" s="31">
        <f>IF(A10="","",MAX(0,N(T10)-SUMIFS(Log!$D$2:$D$1001,Log!$B$2:$B$1001,A10,Log!$C$2:$C$1001,"Received",Log!$A$2:$A$1001,"&gt;="&amp;N(U10))))</f>
        <v/>
      </c>
      <c r="G10" s="24" t="n"/>
      <c r="H10" s="24" t="n"/>
      <c r="I10" s="24" t="n"/>
      <c r="J10" s="24" t="n"/>
      <c r="K10" s="24" t="n"/>
      <c r="L10" s="34" t="n"/>
      <c r="M10" s="24" t="n"/>
      <c r="N10" s="24" t="n"/>
      <c r="O10" s="35" t="n"/>
      <c r="P10" s="25" t="n"/>
      <c r="Q10" s="36">
        <f>IF(A10="","",IF(P10&lt;&gt;"",P10,IFERROR(IF(N(INDEX(Suppliers!$E$5:$E$24,MATCH(H10,Suppliers!$B$5:$B$24,0)))&gt;0,INDEX(Suppliers!$E$5:$E$24,MATCH(H10,Suppliers!$B$5:$B$24,0)),5),5)))</f>
        <v/>
      </c>
      <c r="R10" s="35" t="n"/>
      <c r="S10" s="37" t="n"/>
      <c r="T10" s="25" t="n"/>
      <c r="U10" s="37" t="n"/>
      <c r="V10" s="37" t="n"/>
      <c r="W10" s="36">
        <f>IF(A10="","",ROUNDUP(N(O10)*(Q10/7+Settings!$C$5),0))</f>
        <v/>
      </c>
      <c r="X10" s="25" t="n"/>
      <c r="Y10" s="25" t="n"/>
      <c r="Z10" s="32">
        <f>IF(A10="","",IF(Y10&lt;&gt;"",Y10,MAX(1,ROUNDUP(N(O10)*Settings!$C$7,0))))</f>
        <v/>
      </c>
      <c r="AA10" s="38">
        <f>IF(A10="","",MAX(N(S10),_xlfn.MAXIFS(Log!$A$2:$A$1001,Log!$B$2:$B$1001,A10,Log!$C$2:$C$1001,"Count")))</f>
        <v/>
      </c>
      <c r="AB10" s="39">
        <f>IF(A10="","",Z10*N(L10))</f>
        <v/>
      </c>
      <c r="AC10" s="40">
        <f>IF(A10="","",N(O10)*52*N(L10))</f>
        <v/>
      </c>
      <c r="AD10" s="39">
        <f>IF(A10="","",C10*N(L10))</f>
        <v/>
      </c>
      <c r="AE10" s="41">
        <f>IF(A10="",0,IF(AND(OR(B10="Order now",B10="Critical"),F10=0),1,0))</f>
        <v/>
      </c>
      <c r="AF10" s="41">
        <f>IF(AE10=1,IFERROR(MATCH(H10,Suppliers!$B$5:$B$24,0),99)*1000+ROW(),"")</f>
        <v/>
      </c>
      <c r="AG10" s="41">
        <f>IF(AF10="","",COUNTIF('Stock list'!$AF$2:$AF$301,"&lt;"&amp;AF10)+1)</f>
        <v/>
      </c>
      <c r="AH10" s="41">
        <f>IF(A10="",0,IF(OR(AA10=0,AND(B10="OK",OR(C10&lt;=D10+N(O10)*Settings!$C$6,Settings!$C$10-AA10&gt;Settings!$C$8*7))),1,0))</f>
        <v/>
      </c>
      <c r="AI10" s="41">
        <f>IF(AH10=0,"",IF(AA10=0,"Never counted",IF(C10&lt;=D10+N(O10)*Settings!$C$6,"Near the reorder point","Not counted for "&amp;INT((Settings!$C$10-AA10)/7)&amp;" weeks")))</f>
        <v/>
      </c>
      <c r="AJ10" s="41">
        <f>IF(AH10=1,IFERROR(MATCH(M10,Settings!$G$19:$G$38,0),99)*1000+ROW(),"")</f>
        <v/>
      </c>
      <c r="AK10" s="41">
        <f>IF(AJ10="","",COUNTIF('Stock list'!$AJ$2:$AJ$301,"&lt;"&amp;AJ10)+1)</f>
        <v/>
      </c>
      <c r="AL10" s="41">
        <f>IF(OR(A10="",N(AC10)=0),"",AC10+ROW()/1000000)</f>
        <v/>
      </c>
    </row>
    <row r="11">
      <c r="A11" s="24" t="n"/>
      <c r="B11" s="30">
        <f>IF(A11="","",IF(AA11=0,"No count",IF(AND(N(O11)&gt;0,C11/O11*7&lt;Q11),"Critical",IF(F11&gt;0,"On order",IF(AND(D11&gt;0,C11&lt;=D11),"Order now","OK")))))</f>
        <v/>
      </c>
      <c r="C11" s="31">
        <f>IF(A11="","",MAX(0,IF(_xlfn.MAXIFS(Log!$A$2:$A$1001,Log!$B$2:$B$1001,A11,Log!$C$2:$C$1001,"Count")&gt;N(S11),_xlfn.MAXIFS(Log!$D$2:$D$1001,Log!$B$2:$B$1001,A11,Log!$C$2:$C$1001,"Count",Log!$A$2:$A$1001,AA11),N(R11))+SUMIFS(Log!$D$2:$D$1001,Log!$B$2:$B$1001,A11,Log!$C$2:$C$1001,"Received",Log!$A$2:$A$1001,"&gt;"&amp;AA11)-SUMIFS(Log!$D$2:$D$1001,Log!$B$2:$B$1001,A11,Log!$C$2:$C$1001,"Used",Log!$A$2:$A$1001,"&gt;"&amp;AA11)+SUMIFS(Log!$D$2:$D$1001,Log!$B$2:$B$1001,A11,Log!$C$2:$C$1001,"Adjustment",Log!$A$2:$A$1001,"&gt;"&amp;AA11)))</f>
        <v/>
      </c>
      <c r="D11" s="32">
        <f>IF(A11="","",IF(X11&lt;&gt;"",X11,W11))</f>
        <v/>
      </c>
      <c r="E11" s="33">
        <f>IF(OR(A11="",N(O11)=0),"",C11/O11)</f>
        <v/>
      </c>
      <c r="F11" s="31">
        <f>IF(A11="","",MAX(0,N(T11)-SUMIFS(Log!$D$2:$D$1001,Log!$B$2:$B$1001,A11,Log!$C$2:$C$1001,"Received",Log!$A$2:$A$1001,"&gt;="&amp;N(U11))))</f>
        <v/>
      </c>
      <c r="G11" s="24" t="n"/>
      <c r="H11" s="24" t="n"/>
      <c r="I11" s="24" t="n"/>
      <c r="J11" s="24" t="n"/>
      <c r="K11" s="24" t="n"/>
      <c r="L11" s="34" t="n"/>
      <c r="M11" s="24" t="n"/>
      <c r="N11" s="24" t="n"/>
      <c r="O11" s="35" t="n"/>
      <c r="P11" s="25" t="n"/>
      <c r="Q11" s="36">
        <f>IF(A11="","",IF(P11&lt;&gt;"",P11,IFERROR(IF(N(INDEX(Suppliers!$E$5:$E$24,MATCH(H11,Suppliers!$B$5:$B$24,0)))&gt;0,INDEX(Suppliers!$E$5:$E$24,MATCH(H11,Suppliers!$B$5:$B$24,0)),5),5)))</f>
        <v/>
      </c>
      <c r="R11" s="35" t="n"/>
      <c r="S11" s="37" t="n"/>
      <c r="T11" s="25" t="n"/>
      <c r="U11" s="37" t="n"/>
      <c r="V11" s="37" t="n"/>
      <c r="W11" s="36">
        <f>IF(A11="","",ROUNDUP(N(O11)*(Q11/7+Settings!$C$5),0))</f>
        <v/>
      </c>
      <c r="X11" s="25" t="n"/>
      <c r="Y11" s="25" t="n"/>
      <c r="Z11" s="32">
        <f>IF(A11="","",IF(Y11&lt;&gt;"",Y11,MAX(1,ROUNDUP(N(O11)*Settings!$C$7,0))))</f>
        <v/>
      </c>
      <c r="AA11" s="38">
        <f>IF(A11="","",MAX(N(S11),_xlfn.MAXIFS(Log!$A$2:$A$1001,Log!$B$2:$B$1001,A11,Log!$C$2:$C$1001,"Count")))</f>
        <v/>
      </c>
      <c r="AB11" s="39">
        <f>IF(A11="","",Z11*N(L11))</f>
        <v/>
      </c>
      <c r="AC11" s="40">
        <f>IF(A11="","",N(O11)*52*N(L11))</f>
        <v/>
      </c>
      <c r="AD11" s="39">
        <f>IF(A11="","",C11*N(L11))</f>
        <v/>
      </c>
      <c r="AE11" s="41">
        <f>IF(A11="",0,IF(AND(OR(B11="Order now",B11="Critical"),F11=0),1,0))</f>
        <v/>
      </c>
      <c r="AF11" s="41">
        <f>IF(AE11=1,IFERROR(MATCH(H11,Suppliers!$B$5:$B$24,0),99)*1000+ROW(),"")</f>
        <v/>
      </c>
      <c r="AG11" s="41">
        <f>IF(AF11="","",COUNTIF('Stock list'!$AF$2:$AF$301,"&lt;"&amp;AF11)+1)</f>
        <v/>
      </c>
      <c r="AH11" s="41">
        <f>IF(A11="",0,IF(OR(AA11=0,AND(B11="OK",OR(C11&lt;=D11+N(O11)*Settings!$C$6,Settings!$C$10-AA11&gt;Settings!$C$8*7))),1,0))</f>
        <v/>
      </c>
      <c r="AI11" s="41">
        <f>IF(AH11=0,"",IF(AA11=0,"Never counted",IF(C11&lt;=D11+N(O11)*Settings!$C$6,"Near the reorder point","Not counted for "&amp;INT((Settings!$C$10-AA11)/7)&amp;" weeks")))</f>
        <v/>
      </c>
      <c r="AJ11" s="41">
        <f>IF(AH11=1,IFERROR(MATCH(M11,Settings!$G$19:$G$38,0),99)*1000+ROW(),"")</f>
        <v/>
      </c>
      <c r="AK11" s="41">
        <f>IF(AJ11="","",COUNTIF('Stock list'!$AJ$2:$AJ$301,"&lt;"&amp;AJ11)+1)</f>
        <v/>
      </c>
      <c r="AL11" s="41">
        <f>IF(OR(A11="",N(AC11)=0),"",AC11+ROW()/1000000)</f>
        <v/>
      </c>
    </row>
    <row r="12">
      <c r="A12" s="24" t="n"/>
      <c r="B12" s="30">
        <f>IF(A12="","",IF(AA12=0,"No count",IF(AND(N(O12)&gt;0,C12/O12*7&lt;Q12),"Critical",IF(F12&gt;0,"On order",IF(AND(D12&gt;0,C12&lt;=D12),"Order now","OK")))))</f>
        <v/>
      </c>
      <c r="C12" s="31">
        <f>IF(A12="","",MAX(0,IF(_xlfn.MAXIFS(Log!$A$2:$A$1001,Log!$B$2:$B$1001,A12,Log!$C$2:$C$1001,"Count")&gt;N(S12),_xlfn.MAXIFS(Log!$D$2:$D$1001,Log!$B$2:$B$1001,A12,Log!$C$2:$C$1001,"Count",Log!$A$2:$A$1001,AA12),N(R12))+SUMIFS(Log!$D$2:$D$1001,Log!$B$2:$B$1001,A12,Log!$C$2:$C$1001,"Received",Log!$A$2:$A$1001,"&gt;"&amp;AA12)-SUMIFS(Log!$D$2:$D$1001,Log!$B$2:$B$1001,A12,Log!$C$2:$C$1001,"Used",Log!$A$2:$A$1001,"&gt;"&amp;AA12)+SUMIFS(Log!$D$2:$D$1001,Log!$B$2:$B$1001,A12,Log!$C$2:$C$1001,"Adjustment",Log!$A$2:$A$1001,"&gt;"&amp;AA12)))</f>
        <v/>
      </c>
      <c r="D12" s="32">
        <f>IF(A12="","",IF(X12&lt;&gt;"",X12,W12))</f>
        <v/>
      </c>
      <c r="E12" s="33">
        <f>IF(OR(A12="",N(O12)=0),"",C12/O12)</f>
        <v/>
      </c>
      <c r="F12" s="31">
        <f>IF(A12="","",MAX(0,N(T12)-SUMIFS(Log!$D$2:$D$1001,Log!$B$2:$B$1001,A12,Log!$C$2:$C$1001,"Received",Log!$A$2:$A$1001,"&gt;="&amp;N(U12))))</f>
        <v/>
      </c>
      <c r="G12" s="24" t="n"/>
      <c r="H12" s="24" t="n"/>
      <c r="I12" s="24" t="n"/>
      <c r="J12" s="24" t="n"/>
      <c r="K12" s="24" t="n"/>
      <c r="L12" s="34" t="n"/>
      <c r="M12" s="24" t="n"/>
      <c r="N12" s="24" t="n"/>
      <c r="O12" s="35" t="n"/>
      <c r="P12" s="25" t="n"/>
      <c r="Q12" s="36">
        <f>IF(A12="","",IF(P12&lt;&gt;"",P12,IFERROR(IF(N(INDEX(Suppliers!$E$5:$E$24,MATCH(H12,Suppliers!$B$5:$B$24,0)))&gt;0,INDEX(Suppliers!$E$5:$E$24,MATCH(H12,Suppliers!$B$5:$B$24,0)),5),5)))</f>
        <v/>
      </c>
      <c r="R12" s="35" t="n"/>
      <c r="S12" s="37" t="n"/>
      <c r="T12" s="25" t="n"/>
      <c r="U12" s="37" t="n"/>
      <c r="V12" s="37" t="n"/>
      <c r="W12" s="36">
        <f>IF(A12="","",ROUNDUP(N(O12)*(Q12/7+Settings!$C$5),0))</f>
        <v/>
      </c>
      <c r="X12" s="25" t="n"/>
      <c r="Y12" s="25" t="n"/>
      <c r="Z12" s="32">
        <f>IF(A12="","",IF(Y12&lt;&gt;"",Y12,MAX(1,ROUNDUP(N(O12)*Settings!$C$7,0))))</f>
        <v/>
      </c>
      <c r="AA12" s="38">
        <f>IF(A12="","",MAX(N(S12),_xlfn.MAXIFS(Log!$A$2:$A$1001,Log!$B$2:$B$1001,A12,Log!$C$2:$C$1001,"Count")))</f>
        <v/>
      </c>
      <c r="AB12" s="39">
        <f>IF(A12="","",Z12*N(L12))</f>
        <v/>
      </c>
      <c r="AC12" s="40">
        <f>IF(A12="","",N(O12)*52*N(L12))</f>
        <v/>
      </c>
      <c r="AD12" s="39">
        <f>IF(A12="","",C12*N(L12))</f>
        <v/>
      </c>
      <c r="AE12" s="41">
        <f>IF(A12="",0,IF(AND(OR(B12="Order now",B12="Critical"),F12=0),1,0))</f>
        <v/>
      </c>
      <c r="AF12" s="41">
        <f>IF(AE12=1,IFERROR(MATCH(H12,Suppliers!$B$5:$B$24,0),99)*1000+ROW(),"")</f>
        <v/>
      </c>
      <c r="AG12" s="41">
        <f>IF(AF12="","",COUNTIF('Stock list'!$AF$2:$AF$301,"&lt;"&amp;AF12)+1)</f>
        <v/>
      </c>
      <c r="AH12" s="41">
        <f>IF(A12="",0,IF(OR(AA12=0,AND(B12="OK",OR(C12&lt;=D12+N(O12)*Settings!$C$6,Settings!$C$10-AA12&gt;Settings!$C$8*7))),1,0))</f>
        <v/>
      </c>
      <c r="AI12" s="41">
        <f>IF(AH12=0,"",IF(AA12=0,"Never counted",IF(C12&lt;=D12+N(O12)*Settings!$C$6,"Near the reorder point","Not counted for "&amp;INT((Settings!$C$10-AA12)/7)&amp;" weeks")))</f>
        <v/>
      </c>
      <c r="AJ12" s="41">
        <f>IF(AH12=1,IFERROR(MATCH(M12,Settings!$G$19:$G$38,0),99)*1000+ROW(),"")</f>
        <v/>
      </c>
      <c r="AK12" s="41">
        <f>IF(AJ12="","",COUNTIF('Stock list'!$AJ$2:$AJ$301,"&lt;"&amp;AJ12)+1)</f>
        <v/>
      </c>
      <c r="AL12" s="41">
        <f>IF(OR(A12="",N(AC12)=0),"",AC12+ROW()/1000000)</f>
        <v/>
      </c>
    </row>
    <row r="13">
      <c r="A13" s="24" t="n"/>
      <c r="B13" s="30">
        <f>IF(A13="","",IF(AA13=0,"No count",IF(AND(N(O13)&gt;0,C13/O13*7&lt;Q13),"Critical",IF(F13&gt;0,"On order",IF(AND(D13&gt;0,C13&lt;=D13),"Order now","OK")))))</f>
        <v/>
      </c>
      <c r="C13" s="31">
        <f>IF(A13="","",MAX(0,IF(_xlfn.MAXIFS(Log!$A$2:$A$1001,Log!$B$2:$B$1001,A13,Log!$C$2:$C$1001,"Count")&gt;N(S13),_xlfn.MAXIFS(Log!$D$2:$D$1001,Log!$B$2:$B$1001,A13,Log!$C$2:$C$1001,"Count",Log!$A$2:$A$1001,AA13),N(R13))+SUMIFS(Log!$D$2:$D$1001,Log!$B$2:$B$1001,A13,Log!$C$2:$C$1001,"Received",Log!$A$2:$A$1001,"&gt;"&amp;AA13)-SUMIFS(Log!$D$2:$D$1001,Log!$B$2:$B$1001,A13,Log!$C$2:$C$1001,"Used",Log!$A$2:$A$1001,"&gt;"&amp;AA13)+SUMIFS(Log!$D$2:$D$1001,Log!$B$2:$B$1001,A13,Log!$C$2:$C$1001,"Adjustment",Log!$A$2:$A$1001,"&gt;"&amp;AA13)))</f>
        <v/>
      </c>
      <c r="D13" s="32">
        <f>IF(A13="","",IF(X13&lt;&gt;"",X13,W13))</f>
        <v/>
      </c>
      <c r="E13" s="33">
        <f>IF(OR(A13="",N(O13)=0),"",C13/O13)</f>
        <v/>
      </c>
      <c r="F13" s="31">
        <f>IF(A13="","",MAX(0,N(T13)-SUMIFS(Log!$D$2:$D$1001,Log!$B$2:$B$1001,A13,Log!$C$2:$C$1001,"Received",Log!$A$2:$A$1001,"&gt;="&amp;N(U13))))</f>
        <v/>
      </c>
      <c r="G13" s="24" t="n"/>
      <c r="H13" s="24" t="n"/>
      <c r="I13" s="24" t="n"/>
      <c r="J13" s="24" t="n"/>
      <c r="K13" s="24" t="n"/>
      <c r="L13" s="34" t="n"/>
      <c r="M13" s="24" t="n"/>
      <c r="N13" s="24" t="n"/>
      <c r="O13" s="35" t="n"/>
      <c r="P13" s="25" t="n"/>
      <c r="Q13" s="36">
        <f>IF(A13="","",IF(P13&lt;&gt;"",P13,IFERROR(IF(N(INDEX(Suppliers!$E$5:$E$24,MATCH(H13,Suppliers!$B$5:$B$24,0)))&gt;0,INDEX(Suppliers!$E$5:$E$24,MATCH(H13,Suppliers!$B$5:$B$24,0)),5),5)))</f>
        <v/>
      </c>
      <c r="R13" s="35" t="n"/>
      <c r="S13" s="37" t="n"/>
      <c r="T13" s="25" t="n"/>
      <c r="U13" s="37" t="n"/>
      <c r="V13" s="37" t="n"/>
      <c r="W13" s="36">
        <f>IF(A13="","",ROUNDUP(N(O13)*(Q13/7+Settings!$C$5),0))</f>
        <v/>
      </c>
      <c r="X13" s="25" t="n"/>
      <c r="Y13" s="25" t="n"/>
      <c r="Z13" s="32">
        <f>IF(A13="","",IF(Y13&lt;&gt;"",Y13,MAX(1,ROUNDUP(N(O13)*Settings!$C$7,0))))</f>
        <v/>
      </c>
      <c r="AA13" s="38">
        <f>IF(A13="","",MAX(N(S13),_xlfn.MAXIFS(Log!$A$2:$A$1001,Log!$B$2:$B$1001,A13,Log!$C$2:$C$1001,"Count")))</f>
        <v/>
      </c>
      <c r="AB13" s="39">
        <f>IF(A13="","",Z13*N(L13))</f>
        <v/>
      </c>
      <c r="AC13" s="40">
        <f>IF(A13="","",N(O13)*52*N(L13))</f>
        <v/>
      </c>
      <c r="AD13" s="39">
        <f>IF(A13="","",C13*N(L13))</f>
        <v/>
      </c>
      <c r="AE13" s="41">
        <f>IF(A13="",0,IF(AND(OR(B13="Order now",B13="Critical"),F13=0),1,0))</f>
        <v/>
      </c>
      <c r="AF13" s="41">
        <f>IF(AE13=1,IFERROR(MATCH(H13,Suppliers!$B$5:$B$24,0),99)*1000+ROW(),"")</f>
        <v/>
      </c>
      <c r="AG13" s="41">
        <f>IF(AF13="","",COUNTIF('Stock list'!$AF$2:$AF$301,"&lt;"&amp;AF13)+1)</f>
        <v/>
      </c>
      <c r="AH13" s="41">
        <f>IF(A13="",0,IF(OR(AA13=0,AND(B13="OK",OR(C13&lt;=D13+N(O13)*Settings!$C$6,Settings!$C$10-AA13&gt;Settings!$C$8*7))),1,0))</f>
        <v/>
      </c>
      <c r="AI13" s="41">
        <f>IF(AH13=0,"",IF(AA13=0,"Never counted",IF(C13&lt;=D13+N(O13)*Settings!$C$6,"Near the reorder point","Not counted for "&amp;INT((Settings!$C$10-AA13)/7)&amp;" weeks")))</f>
        <v/>
      </c>
      <c r="AJ13" s="41">
        <f>IF(AH13=1,IFERROR(MATCH(M13,Settings!$G$19:$G$38,0),99)*1000+ROW(),"")</f>
        <v/>
      </c>
      <c r="AK13" s="41">
        <f>IF(AJ13="","",COUNTIF('Stock list'!$AJ$2:$AJ$301,"&lt;"&amp;AJ13)+1)</f>
        <v/>
      </c>
      <c r="AL13" s="41">
        <f>IF(OR(A13="",N(AC13)=0),"",AC13+ROW()/1000000)</f>
        <v/>
      </c>
    </row>
    <row r="14">
      <c r="A14" s="24" t="n"/>
      <c r="B14" s="30">
        <f>IF(A14="","",IF(AA14=0,"No count",IF(AND(N(O14)&gt;0,C14/O14*7&lt;Q14),"Critical",IF(F14&gt;0,"On order",IF(AND(D14&gt;0,C14&lt;=D14),"Order now","OK")))))</f>
        <v/>
      </c>
      <c r="C14" s="31">
        <f>IF(A14="","",MAX(0,IF(_xlfn.MAXIFS(Log!$A$2:$A$1001,Log!$B$2:$B$1001,A14,Log!$C$2:$C$1001,"Count")&gt;N(S14),_xlfn.MAXIFS(Log!$D$2:$D$1001,Log!$B$2:$B$1001,A14,Log!$C$2:$C$1001,"Count",Log!$A$2:$A$1001,AA14),N(R14))+SUMIFS(Log!$D$2:$D$1001,Log!$B$2:$B$1001,A14,Log!$C$2:$C$1001,"Received",Log!$A$2:$A$1001,"&gt;"&amp;AA14)-SUMIFS(Log!$D$2:$D$1001,Log!$B$2:$B$1001,A14,Log!$C$2:$C$1001,"Used",Log!$A$2:$A$1001,"&gt;"&amp;AA14)+SUMIFS(Log!$D$2:$D$1001,Log!$B$2:$B$1001,A14,Log!$C$2:$C$1001,"Adjustment",Log!$A$2:$A$1001,"&gt;"&amp;AA14)))</f>
        <v/>
      </c>
      <c r="D14" s="32">
        <f>IF(A14="","",IF(X14&lt;&gt;"",X14,W14))</f>
        <v/>
      </c>
      <c r="E14" s="33">
        <f>IF(OR(A14="",N(O14)=0),"",C14/O14)</f>
        <v/>
      </c>
      <c r="F14" s="31">
        <f>IF(A14="","",MAX(0,N(T14)-SUMIFS(Log!$D$2:$D$1001,Log!$B$2:$B$1001,A14,Log!$C$2:$C$1001,"Received",Log!$A$2:$A$1001,"&gt;="&amp;N(U14))))</f>
        <v/>
      </c>
      <c r="G14" s="24" t="n"/>
      <c r="H14" s="24" t="n"/>
      <c r="I14" s="24" t="n"/>
      <c r="J14" s="24" t="n"/>
      <c r="K14" s="24" t="n"/>
      <c r="L14" s="34" t="n"/>
      <c r="M14" s="24" t="n"/>
      <c r="N14" s="24" t="n"/>
      <c r="O14" s="35" t="n"/>
      <c r="P14" s="25" t="n"/>
      <c r="Q14" s="36">
        <f>IF(A14="","",IF(P14&lt;&gt;"",P14,IFERROR(IF(N(INDEX(Suppliers!$E$5:$E$24,MATCH(H14,Suppliers!$B$5:$B$24,0)))&gt;0,INDEX(Suppliers!$E$5:$E$24,MATCH(H14,Suppliers!$B$5:$B$24,0)),5),5)))</f>
        <v/>
      </c>
      <c r="R14" s="35" t="n"/>
      <c r="S14" s="37" t="n"/>
      <c r="T14" s="25" t="n"/>
      <c r="U14" s="37" t="n"/>
      <c r="V14" s="37" t="n"/>
      <c r="W14" s="36">
        <f>IF(A14="","",ROUNDUP(N(O14)*(Q14/7+Settings!$C$5),0))</f>
        <v/>
      </c>
      <c r="X14" s="25" t="n"/>
      <c r="Y14" s="25" t="n"/>
      <c r="Z14" s="32">
        <f>IF(A14="","",IF(Y14&lt;&gt;"",Y14,MAX(1,ROUNDUP(N(O14)*Settings!$C$7,0))))</f>
        <v/>
      </c>
      <c r="AA14" s="38">
        <f>IF(A14="","",MAX(N(S14),_xlfn.MAXIFS(Log!$A$2:$A$1001,Log!$B$2:$B$1001,A14,Log!$C$2:$C$1001,"Count")))</f>
        <v/>
      </c>
      <c r="AB14" s="39">
        <f>IF(A14="","",Z14*N(L14))</f>
        <v/>
      </c>
      <c r="AC14" s="40">
        <f>IF(A14="","",N(O14)*52*N(L14))</f>
        <v/>
      </c>
      <c r="AD14" s="39">
        <f>IF(A14="","",C14*N(L14))</f>
        <v/>
      </c>
      <c r="AE14" s="41">
        <f>IF(A14="",0,IF(AND(OR(B14="Order now",B14="Critical"),F14=0),1,0))</f>
        <v/>
      </c>
      <c r="AF14" s="41">
        <f>IF(AE14=1,IFERROR(MATCH(H14,Suppliers!$B$5:$B$24,0),99)*1000+ROW(),"")</f>
        <v/>
      </c>
      <c r="AG14" s="41">
        <f>IF(AF14="","",COUNTIF('Stock list'!$AF$2:$AF$301,"&lt;"&amp;AF14)+1)</f>
        <v/>
      </c>
      <c r="AH14" s="41">
        <f>IF(A14="",0,IF(OR(AA14=0,AND(B14="OK",OR(C14&lt;=D14+N(O14)*Settings!$C$6,Settings!$C$10-AA14&gt;Settings!$C$8*7))),1,0))</f>
        <v/>
      </c>
      <c r="AI14" s="41">
        <f>IF(AH14=0,"",IF(AA14=0,"Never counted",IF(C14&lt;=D14+N(O14)*Settings!$C$6,"Near the reorder point","Not counted for "&amp;INT((Settings!$C$10-AA14)/7)&amp;" weeks")))</f>
        <v/>
      </c>
      <c r="AJ14" s="41">
        <f>IF(AH14=1,IFERROR(MATCH(M14,Settings!$G$19:$G$38,0),99)*1000+ROW(),"")</f>
        <v/>
      </c>
      <c r="AK14" s="41">
        <f>IF(AJ14="","",COUNTIF('Stock list'!$AJ$2:$AJ$301,"&lt;"&amp;AJ14)+1)</f>
        <v/>
      </c>
      <c r="AL14" s="41">
        <f>IF(OR(A14="",N(AC14)=0),"",AC14+ROW()/1000000)</f>
        <v/>
      </c>
    </row>
    <row r="15">
      <c r="A15" s="24" t="n"/>
      <c r="B15" s="30">
        <f>IF(A15="","",IF(AA15=0,"No count",IF(AND(N(O15)&gt;0,C15/O15*7&lt;Q15),"Critical",IF(F15&gt;0,"On order",IF(AND(D15&gt;0,C15&lt;=D15),"Order now","OK")))))</f>
        <v/>
      </c>
      <c r="C15" s="31">
        <f>IF(A15="","",MAX(0,IF(_xlfn.MAXIFS(Log!$A$2:$A$1001,Log!$B$2:$B$1001,A15,Log!$C$2:$C$1001,"Count")&gt;N(S15),_xlfn.MAXIFS(Log!$D$2:$D$1001,Log!$B$2:$B$1001,A15,Log!$C$2:$C$1001,"Count",Log!$A$2:$A$1001,AA15),N(R15))+SUMIFS(Log!$D$2:$D$1001,Log!$B$2:$B$1001,A15,Log!$C$2:$C$1001,"Received",Log!$A$2:$A$1001,"&gt;"&amp;AA15)-SUMIFS(Log!$D$2:$D$1001,Log!$B$2:$B$1001,A15,Log!$C$2:$C$1001,"Used",Log!$A$2:$A$1001,"&gt;"&amp;AA15)+SUMIFS(Log!$D$2:$D$1001,Log!$B$2:$B$1001,A15,Log!$C$2:$C$1001,"Adjustment",Log!$A$2:$A$1001,"&gt;"&amp;AA15)))</f>
        <v/>
      </c>
      <c r="D15" s="32">
        <f>IF(A15="","",IF(X15&lt;&gt;"",X15,W15))</f>
        <v/>
      </c>
      <c r="E15" s="33">
        <f>IF(OR(A15="",N(O15)=0),"",C15/O15)</f>
        <v/>
      </c>
      <c r="F15" s="31">
        <f>IF(A15="","",MAX(0,N(T15)-SUMIFS(Log!$D$2:$D$1001,Log!$B$2:$B$1001,A15,Log!$C$2:$C$1001,"Received",Log!$A$2:$A$1001,"&gt;="&amp;N(U15))))</f>
        <v/>
      </c>
      <c r="G15" s="24" t="n"/>
      <c r="H15" s="24" t="n"/>
      <c r="I15" s="24" t="n"/>
      <c r="J15" s="24" t="n"/>
      <c r="K15" s="24" t="n"/>
      <c r="L15" s="34" t="n"/>
      <c r="M15" s="24" t="n"/>
      <c r="N15" s="24" t="n"/>
      <c r="O15" s="35" t="n"/>
      <c r="P15" s="25" t="n"/>
      <c r="Q15" s="36">
        <f>IF(A15="","",IF(P15&lt;&gt;"",P15,IFERROR(IF(N(INDEX(Suppliers!$E$5:$E$24,MATCH(H15,Suppliers!$B$5:$B$24,0)))&gt;0,INDEX(Suppliers!$E$5:$E$24,MATCH(H15,Suppliers!$B$5:$B$24,0)),5),5)))</f>
        <v/>
      </c>
      <c r="R15" s="35" t="n"/>
      <c r="S15" s="37" t="n"/>
      <c r="T15" s="25" t="n"/>
      <c r="U15" s="37" t="n"/>
      <c r="V15" s="37" t="n"/>
      <c r="W15" s="36">
        <f>IF(A15="","",ROUNDUP(N(O15)*(Q15/7+Settings!$C$5),0))</f>
        <v/>
      </c>
      <c r="X15" s="25" t="n"/>
      <c r="Y15" s="25" t="n"/>
      <c r="Z15" s="32">
        <f>IF(A15="","",IF(Y15&lt;&gt;"",Y15,MAX(1,ROUNDUP(N(O15)*Settings!$C$7,0))))</f>
        <v/>
      </c>
      <c r="AA15" s="38">
        <f>IF(A15="","",MAX(N(S15),_xlfn.MAXIFS(Log!$A$2:$A$1001,Log!$B$2:$B$1001,A15,Log!$C$2:$C$1001,"Count")))</f>
        <v/>
      </c>
      <c r="AB15" s="39">
        <f>IF(A15="","",Z15*N(L15))</f>
        <v/>
      </c>
      <c r="AC15" s="40">
        <f>IF(A15="","",N(O15)*52*N(L15))</f>
        <v/>
      </c>
      <c r="AD15" s="39">
        <f>IF(A15="","",C15*N(L15))</f>
        <v/>
      </c>
      <c r="AE15" s="41">
        <f>IF(A15="",0,IF(AND(OR(B15="Order now",B15="Critical"),F15=0),1,0))</f>
        <v/>
      </c>
      <c r="AF15" s="41">
        <f>IF(AE15=1,IFERROR(MATCH(H15,Suppliers!$B$5:$B$24,0),99)*1000+ROW(),"")</f>
        <v/>
      </c>
      <c r="AG15" s="41">
        <f>IF(AF15="","",COUNTIF('Stock list'!$AF$2:$AF$301,"&lt;"&amp;AF15)+1)</f>
        <v/>
      </c>
      <c r="AH15" s="41">
        <f>IF(A15="",0,IF(OR(AA15=0,AND(B15="OK",OR(C15&lt;=D15+N(O15)*Settings!$C$6,Settings!$C$10-AA15&gt;Settings!$C$8*7))),1,0))</f>
        <v/>
      </c>
      <c r="AI15" s="41">
        <f>IF(AH15=0,"",IF(AA15=0,"Never counted",IF(C15&lt;=D15+N(O15)*Settings!$C$6,"Near the reorder point","Not counted for "&amp;INT((Settings!$C$10-AA15)/7)&amp;" weeks")))</f>
        <v/>
      </c>
      <c r="AJ15" s="41">
        <f>IF(AH15=1,IFERROR(MATCH(M15,Settings!$G$19:$G$38,0),99)*1000+ROW(),"")</f>
        <v/>
      </c>
      <c r="AK15" s="41">
        <f>IF(AJ15="","",COUNTIF('Stock list'!$AJ$2:$AJ$301,"&lt;"&amp;AJ15)+1)</f>
        <v/>
      </c>
      <c r="AL15" s="41">
        <f>IF(OR(A15="",N(AC15)=0),"",AC15+ROW()/1000000)</f>
        <v/>
      </c>
    </row>
    <row r="16">
      <c r="A16" s="24" t="n"/>
      <c r="B16" s="30">
        <f>IF(A16="","",IF(AA16=0,"No count",IF(AND(N(O16)&gt;0,C16/O16*7&lt;Q16),"Critical",IF(F16&gt;0,"On order",IF(AND(D16&gt;0,C16&lt;=D16),"Order now","OK")))))</f>
        <v/>
      </c>
      <c r="C16" s="31">
        <f>IF(A16="","",MAX(0,IF(_xlfn.MAXIFS(Log!$A$2:$A$1001,Log!$B$2:$B$1001,A16,Log!$C$2:$C$1001,"Count")&gt;N(S16),_xlfn.MAXIFS(Log!$D$2:$D$1001,Log!$B$2:$B$1001,A16,Log!$C$2:$C$1001,"Count",Log!$A$2:$A$1001,AA16),N(R16))+SUMIFS(Log!$D$2:$D$1001,Log!$B$2:$B$1001,A16,Log!$C$2:$C$1001,"Received",Log!$A$2:$A$1001,"&gt;"&amp;AA16)-SUMIFS(Log!$D$2:$D$1001,Log!$B$2:$B$1001,A16,Log!$C$2:$C$1001,"Used",Log!$A$2:$A$1001,"&gt;"&amp;AA16)+SUMIFS(Log!$D$2:$D$1001,Log!$B$2:$B$1001,A16,Log!$C$2:$C$1001,"Adjustment",Log!$A$2:$A$1001,"&gt;"&amp;AA16)))</f>
        <v/>
      </c>
      <c r="D16" s="32">
        <f>IF(A16="","",IF(X16&lt;&gt;"",X16,W16))</f>
        <v/>
      </c>
      <c r="E16" s="33">
        <f>IF(OR(A16="",N(O16)=0),"",C16/O16)</f>
        <v/>
      </c>
      <c r="F16" s="31">
        <f>IF(A16="","",MAX(0,N(T16)-SUMIFS(Log!$D$2:$D$1001,Log!$B$2:$B$1001,A16,Log!$C$2:$C$1001,"Received",Log!$A$2:$A$1001,"&gt;="&amp;N(U16))))</f>
        <v/>
      </c>
      <c r="G16" s="24" t="n"/>
      <c r="H16" s="24" t="n"/>
      <c r="I16" s="24" t="n"/>
      <c r="J16" s="24" t="n"/>
      <c r="K16" s="24" t="n"/>
      <c r="L16" s="34" t="n"/>
      <c r="M16" s="24" t="n"/>
      <c r="N16" s="24" t="n"/>
      <c r="O16" s="35" t="n"/>
      <c r="P16" s="25" t="n"/>
      <c r="Q16" s="36">
        <f>IF(A16="","",IF(P16&lt;&gt;"",P16,IFERROR(IF(N(INDEX(Suppliers!$E$5:$E$24,MATCH(H16,Suppliers!$B$5:$B$24,0)))&gt;0,INDEX(Suppliers!$E$5:$E$24,MATCH(H16,Suppliers!$B$5:$B$24,0)),5),5)))</f>
        <v/>
      </c>
      <c r="R16" s="35" t="n"/>
      <c r="S16" s="37" t="n"/>
      <c r="T16" s="25" t="n"/>
      <c r="U16" s="37" t="n"/>
      <c r="V16" s="37" t="n"/>
      <c r="W16" s="36">
        <f>IF(A16="","",ROUNDUP(N(O16)*(Q16/7+Settings!$C$5),0))</f>
        <v/>
      </c>
      <c r="X16" s="25" t="n"/>
      <c r="Y16" s="25" t="n"/>
      <c r="Z16" s="32">
        <f>IF(A16="","",IF(Y16&lt;&gt;"",Y16,MAX(1,ROUNDUP(N(O16)*Settings!$C$7,0))))</f>
        <v/>
      </c>
      <c r="AA16" s="38">
        <f>IF(A16="","",MAX(N(S16),_xlfn.MAXIFS(Log!$A$2:$A$1001,Log!$B$2:$B$1001,A16,Log!$C$2:$C$1001,"Count")))</f>
        <v/>
      </c>
      <c r="AB16" s="39">
        <f>IF(A16="","",Z16*N(L16))</f>
        <v/>
      </c>
      <c r="AC16" s="40">
        <f>IF(A16="","",N(O16)*52*N(L16))</f>
        <v/>
      </c>
      <c r="AD16" s="39">
        <f>IF(A16="","",C16*N(L16))</f>
        <v/>
      </c>
      <c r="AE16" s="41">
        <f>IF(A16="",0,IF(AND(OR(B16="Order now",B16="Critical"),F16=0),1,0))</f>
        <v/>
      </c>
      <c r="AF16" s="41">
        <f>IF(AE16=1,IFERROR(MATCH(H16,Suppliers!$B$5:$B$24,0),99)*1000+ROW(),"")</f>
        <v/>
      </c>
      <c r="AG16" s="41">
        <f>IF(AF16="","",COUNTIF('Stock list'!$AF$2:$AF$301,"&lt;"&amp;AF16)+1)</f>
        <v/>
      </c>
      <c r="AH16" s="41">
        <f>IF(A16="",0,IF(OR(AA16=0,AND(B16="OK",OR(C16&lt;=D16+N(O16)*Settings!$C$6,Settings!$C$10-AA16&gt;Settings!$C$8*7))),1,0))</f>
        <v/>
      </c>
      <c r="AI16" s="41">
        <f>IF(AH16=0,"",IF(AA16=0,"Never counted",IF(C16&lt;=D16+N(O16)*Settings!$C$6,"Near the reorder point","Not counted for "&amp;INT((Settings!$C$10-AA16)/7)&amp;" weeks")))</f>
        <v/>
      </c>
      <c r="AJ16" s="41">
        <f>IF(AH16=1,IFERROR(MATCH(M16,Settings!$G$19:$G$38,0),99)*1000+ROW(),"")</f>
        <v/>
      </c>
      <c r="AK16" s="41">
        <f>IF(AJ16="","",COUNTIF('Stock list'!$AJ$2:$AJ$301,"&lt;"&amp;AJ16)+1)</f>
        <v/>
      </c>
      <c r="AL16" s="41">
        <f>IF(OR(A16="",N(AC16)=0),"",AC16+ROW()/1000000)</f>
        <v/>
      </c>
    </row>
    <row r="17">
      <c r="A17" s="24" t="n"/>
      <c r="B17" s="30">
        <f>IF(A17="","",IF(AA17=0,"No count",IF(AND(N(O17)&gt;0,C17/O17*7&lt;Q17),"Critical",IF(F17&gt;0,"On order",IF(AND(D17&gt;0,C17&lt;=D17),"Order now","OK")))))</f>
        <v/>
      </c>
      <c r="C17" s="31">
        <f>IF(A17="","",MAX(0,IF(_xlfn.MAXIFS(Log!$A$2:$A$1001,Log!$B$2:$B$1001,A17,Log!$C$2:$C$1001,"Count")&gt;N(S17),_xlfn.MAXIFS(Log!$D$2:$D$1001,Log!$B$2:$B$1001,A17,Log!$C$2:$C$1001,"Count",Log!$A$2:$A$1001,AA17),N(R17))+SUMIFS(Log!$D$2:$D$1001,Log!$B$2:$B$1001,A17,Log!$C$2:$C$1001,"Received",Log!$A$2:$A$1001,"&gt;"&amp;AA17)-SUMIFS(Log!$D$2:$D$1001,Log!$B$2:$B$1001,A17,Log!$C$2:$C$1001,"Used",Log!$A$2:$A$1001,"&gt;"&amp;AA17)+SUMIFS(Log!$D$2:$D$1001,Log!$B$2:$B$1001,A17,Log!$C$2:$C$1001,"Adjustment",Log!$A$2:$A$1001,"&gt;"&amp;AA17)))</f>
        <v/>
      </c>
      <c r="D17" s="32">
        <f>IF(A17="","",IF(X17&lt;&gt;"",X17,W17))</f>
        <v/>
      </c>
      <c r="E17" s="33">
        <f>IF(OR(A17="",N(O17)=0),"",C17/O17)</f>
        <v/>
      </c>
      <c r="F17" s="31">
        <f>IF(A17="","",MAX(0,N(T17)-SUMIFS(Log!$D$2:$D$1001,Log!$B$2:$B$1001,A17,Log!$C$2:$C$1001,"Received",Log!$A$2:$A$1001,"&gt;="&amp;N(U17))))</f>
        <v/>
      </c>
      <c r="G17" s="24" t="n"/>
      <c r="H17" s="24" t="n"/>
      <c r="I17" s="24" t="n"/>
      <c r="J17" s="24" t="n"/>
      <c r="K17" s="24" t="n"/>
      <c r="L17" s="34" t="n"/>
      <c r="M17" s="24" t="n"/>
      <c r="N17" s="24" t="n"/>
      <c r="O17" s="35" t="n"/>
      <c r="P17" s="25" t="n"/>
      <c r="Q17" s="36">
        <f>IF(A17="","",IF(P17&lt;&gt;"",P17,IFERROR(IF(N(INDEX(Suppliers!$E$5:$E$24,MATCH(H17,Suppliers!$B$5:$B$24,0)))&gt;0,INDEX(Suppliers!$E$5:$E$24,MATCH(H17,Suppliers!$B$5:$B$24,0)),5),5)))</f>
        <v/>
      </c>
      <c r="R17" s="35" t="n"/>
      <c r="S17" s="37" t="n"/>
      <c r="T17" s="25" t="n"/>
      <c r="U17" s="37" t="n"/>
      <c r="V17" s="37" t="n"/>
      <c r="W17" s="36">
        <f>IF(A17="","",ROUNDUP(N(O17)*(Q17/7+Settings!$C$5),0))</f>
        <v/>
      </c>
      <c r="X17" s="25" t="n"/>
      <c r="Y17" s="25" t="n"/>
      <c r="Z17" s="32">
        <f>IF(A17="","",IF(Y17&lt;&gt;"",Y17,MAX(1,ROUNDUP(N(O17)*Settings!$C$7,0))))</f>
        <v/>
      </c>
      <c r="AA17" s="38">
        <f>IF(A17="","",MAX(N(S17),_xlfn.MAXIFS(Log!$A$2:$A$1001,Log!$B$2:$B$1001,A17,Log!$C$2:$C$1001,"Count")))</f>
        <v/>
      </c>
      <c r="AB17" s="39">
        <f>IF(A17="","",Z17*N(L17))</f>
        <v/>
      </c>
      <c r="AC17" s="40">
        <f>IF(A17="","",N(O17)*52*N(L17))</f>
        <v/>
      </c>
      <c r="AD17" s="39">
        <f>IF(A17="","",C17*N(L17))</f>
        <v/>
      </c>
      <c r="AE17" s="41">
        <f>IF(A17="",0,IF(AND(OR(B17="Order now",B17="Critical"),F17=0),1,0))</f>
        <v/>
      </c>
      <c r="AF17" s="41">
        <f>IF(AE17=1,IFERROR(MATCH(H17,Suppliers!$B$5:$B$24,0),99)*1000+ROW(),"")</f>
        <v/>
      </c>
      <c r="AG17" s="41">
        <f>IF(AF17="","",COUNTIF('Stock list'!$AF$2:$AF$301,"&lt;"&amp;AF17)+1)</f>
        <v/>
      </c>
      <c r="AH17" s="41">
        <f>IF(A17="",0,IF(OR(AA17=0,AND(B17="OK",OR(C17&lt;=D17+N(O17)*Settings!$C$6,Settings!$C$10-AA17&gt;Settings!$C$8*7))),1,0))</f>
        <v/>
      </c>
      <c r="AI17" s="41">
        <f>IF(AH17=0,"",IF(AA17=0,"Never counted",IF(C17&lt;=D17+N(O17)*Settings!$C$6,"Near the reorder point","Not counted for "&amp;INT((Settings!$C$10-AA17)/7)&amp;" weeks")))</f>
        <v/>
      </c>
      <c r="AJ17" s="41">
        <f>IF(AH17=1,IFERROR(MATCH(M17,Settings!$G$19:$G$38,0),99)*1000+ROW(),"")</f>
        <v/>
      </c>
      <c r="AK17" s="41">
        <f>IF(AJ17="","",COUNTIF('Stock list'!$AJ$2:$AJ$301,"&lt;"&amp;AJ17)+1)</f>
        <v/>
      </c>
      <c r="AL17" s="41">
        <f>IF(OR(A17="",N(AC17)=0),"",AC17+ROW()/1000000)</f>
        <v/>
      </c>
    </row>
    <row r="18">
      <c r="A18" s="24" t="n"/>
      <c r="B18" s="30">
        <f>IF(A18="","",IF(AA18=0,"No count",IF(AND(N(O18)&gt;0,C18/O18*7&lt;Q18),"Critical",IF(F18&gt;0,"On order",IF(AND(D18&gt;0,C18&lt;=D18),"Order now","OK")))))</f>
        <v/>
      </c>
      <c r="C18" s="31">
        <f>IF(A18="","",MAX(0,IF(_xlfn.MAXIFS(Log!$A$2:$A$1001,Log!$B$2:$B$1001,A18,Log!$C$2:$C$1001,"Count")&gt;N(S18),_xlfn.MAXIFS(Log!$D$2:$D$1001,Log!$B$2:$B$1001,A18,Log!$C$2:$C$1001,"Count",Log!$A$2:$A$1001,AA18),N(R18))+SUMIFS(Log!$D$2:$D$1001,Log!$B$2:$B$1001,A18,Log!$C$2:$C$1001,"Received",Log!$A$2:$A$1001,"&gt;"&amp;AA18)-SUMIFS(Log!$D$2:$D$1001,Log!$B$2:$B$1001,A18,Log!$C$2:$C$1001,"Used",Log!$A$2:$A$1001,"&gt;"&amp;AA18)+SUMIFS(Log!$D$2:$D$1001,Log!$B$2:$B$1001,A18,Log!$C$2:$C$1001,"Adjustment",Log!$A$2:$A$1001,"&gt;"&amp;AA18)))</f>
        <v/>
      </c>
      <c r="D18" s="32">
        <f>IF(A18="","",IF(X18&lt;&gt;"",X18,W18))</f>
        <v/>
      </c>
      <c r="E18" s="33">
        <f>IF(OR(A18="",N(O18)=0),"",C18/O18)</f>
        <v/>
      </c>
      <c r="F18" s="31">
        <f>IF(A18="","",MAX(0,N(T18)-SUMIFS(Log!$D$2:$D$1001,Log!$B$2:$B$1001,A18,Log!$C$2:$C$1001,"Received",Log!$A$2:$A$1001,"&gt;="&amp;N(U18))))</f>
        <v/>
      </c>
      <c r="G18" s="24" t="n"/>
      <c r="H18" s="24" t="n"/>
      <c r="I18" s="24" t="n"/>
      <c r="J18" s="24" t="n"/>
      <c r="K18" s="24" t="n"/>
      <c r="L18" s="34" t="n"/>
      <c r="M18" s="24" t="n"/>
      <c r="N18" s="24" t="n"/>
      <c r="O18" s="35" t="n"/>
      <c r="P18" s="25" t="n"/>
      <c r="Q18" s="36">
        <f>IF(A18="","",IF(P18&lt;&gt;"",P18,IFERROR(IF(N(INDEX(Suppliers!$E$5:$E$24,MATCH(H18,Suppliers!$B$5:$B$24,0)))&gt;0,INDEX(Suppliers!$E$5:$E$24,MATCH(H18,Suppliers!$B$5:$B$24,0)),5),5)))</f>
        <v/>
      </c>
      <c r="R18" s="35" t="n"/>
      <c r="S18" s="37" t="n"/>
      <c r="T18" s="25" t="n"/>
      <c r="U18" s="37" t="n"/>
      <c r="V18" s="37" t="n"/>
      <c r="W18" s="36">
        <f>IF(A18="","",ROUNDUP(N(O18)*(Q18/7+Settings!$C$5),0))</f>
        <v/>
      </c>
      <c r="X18" s="25" t="n"/>
      <c r="Y18" s="25" t="n"/>
      <c r="Z18" s="32">
        <f>IF(A18="","",IF(Y18&lt;&gt;"",Y18,MAX(1,ROUNDUP(N(O18)*Settings!$C$7,0))))</f>
        <v/>
      </c>
      <c r="AA18" s="38">
        <f>IF(A18="","",MAX(N(S18),_xlfn.MAXIFS(Log!$A$2:$A$1001,Log!$B$2:$B$1001,A18,Log!$C$2:$C$1001,"Count")))</f>
        <v/>
      </c>
      <c r="AB18" s="39">
        <f>IF(A18="","",Z18*N(L18))</f>
        <v/>
      </c>
      <c r="AC18" s="40">
        <f>IF(A18="","",N(O18)*52*N(L18))</f>
        <v/>
      </c>
      <c r="AD18" s="39">
        <f>IF(A18="","",C18*N(L18))</f>
        <v/>
      </c>
      <c r="AE18" s="41">
        <f>IF(A18="",0,IF(AND(OR(B18="Order now",B18="Critical"),F18=0),1,0))</f>
        <v/>
      </c>
      <c r="AF18" s="41">
        <f>IF(AE18=1,IFERROR(MATCH(H18,Suppliers!$B$5:$B$24,0),99)*1000+ROW(),"")</f>
        <v/>
      </c>
      <c r="AG18" s="41">
        <f>IF(AF18="","",COUNTIF('Stock list'!$AF$2:$AF$301,"&lt;"&amp;AF18)+1)</f>
        <v/>
      </c>
      <c r="AH18" s="41">
        <f>IF(A18="",0,IF(OR(AA18=0,AND(B18="OK",OR(C18&lt;=D18+N(O18)*Settings!$C$6,Settings!$C$10-AA18&gt;Settings!$C$8*7))),1,0))</f>
        <v/>
      </c>
      <c r="AI18" s="41">
        <f>IF(AH18=0,"",IF(AA18=0,"Never counted",IF(C18&lt;=D18+N(O18)*Settings!$C$6,"Near the reorder point","Not counted for "&amp;INT((Settings!$C$10-AA18)/7)&amp;" weeks")))</f>
        <v/>
      </c>
      <c r="AJ18" s="41">
        <f>IF(AH18=1,IFERROR(MATCH(M18,Settings!$G$19:$G$38,0),99)*1000+ROW(),"")</f>
        <v/>
      </c>
      <c r="AK18" s="41">
        <f>IF(AJ18="","",COUNTIF('Stock list'!$AJ$2:$AJ$301,"&lt;"&amp;AJ18)+1)</f>
        <v/>
      </c>
      <c r="AL18" s="41">
        <f>IF(OR(A18="",N(AC18)=0),"",AC18+ROW()/1000000)</f>
        <v/>
      </c>
    </row>
    <row r="19">
      <c r="A19" s="24" t="n"/>
      <c r="B19" s="30">
        <f>IF(A19="","",IF(AA19=0,"No count",IF(AND(N(O19)&gt;0,C19/O19*7&lt;Q19),"Critical",IF(F19&gt;0,"On order",IF(AND(D19&gt;0,C19&lt;=D19),"Order now","OK")))))</f>
        <v/>
      </c>
      <c r="C19" s="31">
        <f>IF(A19="","",MAX(0,IF(_xlfn.MAXIFS(Log!$A$2:$A$1001,Log!$B$2:$B$1001,A19,Log!$C$2:$C$1001,"Count")&gt;N(S19),_xlfn.MAXIFS(Log!$D$2:$D$1001,Log!$B$2:$B$1001,A19,Log!$C$2:$C$1001,"Count",Log!$A$2:$A$1001,AA19),N(R19))+SUMIFS(Log!$D$2:$D$1001,Log!$B$2:$B$1001,A19,Log!$C$2:$C$1001,"Received",Log!$A$2:$A$1001,"&gt;"&amp;AA19)-SUMIFS(Log!$D$2:$D$1001,Log!$B$2:$B$1001,A19,Log!$C$2:$C$1001,"Used",Log!$A$2:$A$1001,"&gt;"&amp;AA19)+SUMIFS(Log!$D$2:$D$1001,Log!$B$2:$B$1001,A19,Log!$C$2:$C$1001,"Adjustment",Log!$A$2:$A$1001,"&gt;"&amp;AA19)))</f>
        <v/>
      </c>
      <c r="D19" s="32">
        <f>IF(A19="","",IF(X19&lt;&gt;"",X19,W19))</f>
        <v/>
      </c>
      <c r="E19" s="33">
        <f>IF(OR(A19="",N(O19)=0),"",C19/O19)</f>
        <v/>
      </c>
      <c r="F19" s="31">
        <f>IF(A19="","",MAX(0,N(T19)-SUMIFS(Log!$D$2:$D$1001,Log!$B$2:$B$1001,A19,Log!$C$2:$C$1001,"Received",Log!$A$2:$A$1001,"&gt;="&amp;N(U19))))</f>
        <v/>
      </c>
      <c r="G19" s="24" t="n"/>
      <c r="H19" s="24" t="n"/>
      <c r="I19" s="24" t="n"/>
      <c r="J19" s="24" t="n"/>
      <c r="K19" s="24" t="n"/>
      <c r="L19" s="34" t="n"/>
      <c r="M19" s="24" t="n"/>
      <c r="N19" s="24" t="n"/>
      <c r="O19" s="35" t="n"/>
      <c r="P19" s="25" t="n"/>
      <c r="Q19" s="36">
        <f>IF(A19="","",IF(P19&lt;&gt;"",P19,IFERROR(IF(N(INDEX(Suppliers!$E$5:$E$24,MATCH(H19,Suppliers!$B$5:$B$24,0)))&gt;0,INDEX(Suppliers!$E$5:$E$24,MATCH(H19,Suppliers!$B$5:$B$24,0)),5),5)))</f>
        <v/>
      </c>
      <c r="R19" s="35" t="n"/>
      <c r="S19" s="37" t="n"/>
      <c r="T19" s="25" t="n"/>
      <c r="U19" s="37" t="n"/>
      <c r="V19" s="37" t="n"/>
      <c r="W19" s="36">
        <f>IF(A19="","",ROUNDUP(N(O19)*(Q19/7+Settings!$C$5),0))</f>
        <v/>
      </c>
      <c r="X19" s="25" t="n"/>
      <c r="Y19" s="25" t="n"/>
      <c r="Z19" s="32">
        <f>IF(A19="","",IF(Y19&lt;&gt;"",Y19,MAX(1,ROUNDUP(N(O19)*Settings!$C$7,0))))</f>
        <v/>
      </c>
      <c r="AA19" s="38">
        <f>IF(A19="","",MAX(N(S19),_xlfn.MAXIFS(Log!$A$2:$A$1001,Log!$B$2:$B$1001,A19,Log!$C$2:$C$1001,"Count")))</f>
        <v/>
      </c>
      <c r="AB19" s="39">
        <f>IF(A19="","",Z19*N(L19))</f>
        <v/>
      </c>
      <c r="AC19" s="40">
        <f>IF(A19="","",N(O19)*52*N(L19))</f>
        <v/>
      </c>
      <c r="AD19" s="39">
        <f>IF(A19="","",C19*N(L19))</f>
        <v/>
      </c>
      <c r="AE19" s="41">
        <f>IF(A19="",0,IF(AND(OR(B19="Order now",B19="Critical"),F19=0),1,0))</f>
        <v/>
      </c>
      <c r="AF19" s="41">
        <f>IF(AE19=1,IFERROR(MATCH(H19,Suppliers!$B$5:$B$24,0),99)*1000+ROW(),"")</f>
        <v/>
      </c>
      <c r="AG19" s="41">
        <f>IF(AF19="","",COUNTIF('Stock list'!$AF$2:$AF$301,"&lt;"&amp;AF19)+1)</f>
        <v/>
      </c>
      <c r="AH19" s="41">
        <f>IF(A19="",0,IF(OR(AA19=0,AND(B19="OK",OR(C19&lt;=D19+N(O19)*Settings!$C$6,Settings!$C$10-AA19&gt;Settings!$C$8*7))),1,0))</f>
        <v/>
      </c>
      <c r="AI19" s="41">
        <f>IF(AH19=0,"",IF(AA19=0,"Never counted",IF(C19&lt;=D19+N(O19)*Settings!$C$6,"Near the reorder point","Not counted for "&amp;INT((Settings!$C$10-AA19)/7)&amp;" weeks")))</f>
        <v/>
      </c>
      <c r="AJ19" s="41">
        <f>IF(AH19=1,IFERROR(MATCH(M19,Settings!$G$19:$G$38,0),99)*1000+ROW(),"")</f>
        <v/>
      </c>
      <c r="AK19" s="41">
        <f>IF(AJ19="","",COUNTIF('Stock list'!$AJ$2:$AJ$301,"&lt;"&amp;AJ19)+1)</f>
        <v/>
      </c>
      <c r="AL19" s="41">
        <f>IF(OR(A19="",N(AC19)=0),"",AC19+ROW()/1000000)</f>
        <v/>
      </c>
    </row>
    <row r="20">
      <c r="A20" s="24" t="n"/>
      <c r="B20" s="30">
        <f>IF(A20="","",IF(AA20=0,"No count",IF(AND(N(O20)&gt;0,C20/O20*7&lt;Q20),"Critical",IF(F20&gt;0,"On order",IF(AND(D20&gt;0,C20&lt;=D20),"Order now","OK")))))</f>
        <v/>
      </c>
      <c r="C20" s="31">
        <f>IF(A20="","",MAX(0,IF(_xlfn.MAXIFS(Log!$A$2:$A$1001,Log!$B$2:$B$1001,A20,Log!$C$2:$C$1001,"Count")&gt;N(S20),_xlfn.MAXIFS(Log!$D$2:$D$1001,Log!$B$2:$B$1001,A20,Log!$C$2:$C$1001,"Count",Log!$A$2:$A$1001,AA20),N(R20))+SUMIFS(Log!$D$2:$D$1001,Log!$B$2:$B$1001,A20,Log!$C$2:$C$1001,"Received",Log!$A$2:$A$1001,"&gt;"&amp;AA20)-SUMIFS(Log!$D$2:$D$1001,Log!$B$2:$B$1001,A20,Log!$C$2:$C$1001,"Used",Log!$A$2:$A$1001,"&gt;"&amp;AA20)+SUMIFS(Log!$D$2:$D$1001,Log!$B$2:$B$1001,A20,Log!$C$2:$C$1001,"Adjustment",Log!$A$2:$A$1001,"&gt;"&amp;AA20)))</f>
        <v/>
      </c>
      <c r="D20" s="32">
        <f>IF(A20="","",IF(X20&lt;&gt;"",X20,W20))</f>
        <v/>
      </c>
      <c r="E20" s="33">
        <f>IF(OR(A20="",N(O20)=0),"",C20/O20)</f>
        <v/>
      </c>
      <c r="F20" s="31">
        <f>IF(A20="","",MAX(0,N(T20)-SUMIFS(Log!$D$2:$D$1001,Log!$B$2:$B$1001,A20,Log!$C$2:$C$1001,"Received",Log!$A$2:$A$1001,"&gt;="&amp;N(U20))))</f>
        <v/>
      </c>
      <c r="G20" s="24" t="n"/>
      <c r="H20" s="24" t="n"/>
      <c r="I20" s="24" t="n"/>
      <c r="J20" s="24" t="n"/>
      <c r="K20" s="24" t="n"/>
      <c r="L20" s="34" t="n"/>
      <c r="M20" s="24" t="n"/>
      <c r="N20" s="24" t="n"/>
      <c r="O20" s="35" t="n"/>
      <c r="P20" s="25" t="n"/>
      <c r="Q20" s="36">
        <f>IF(A20="","",IF(P20&lt;&gt;"",P20,IFERROR(IF(N(INDEX(Suppliers!$E$5:$E$24,MATCH(H20,Suppliers!$B$5:$B$24,0)))&gt;0,INDEX(Suppliers!$E$5:$E$24,MATCH(H20,Suppliers!$B$5:$B$24,0)),5),5)))</f>
        <v/>
      </c>
      <c r="R20" s="35" t="n"/>
      <c r="S20" s="37" t="n"/>
      <c r="T20" s="25" t="n"/>
      <c r="U20" s="37" t="n"/>
      <c r="V20" s="37" t="n"/>
      <c r="W20" s="36">
        <f>IF(A20="","",ROUNDUP(N(O20)*(Q20/7+Settings!$C$5),0))</f>
        <v/>
      </c>
      <c r="X20" s="25" t="n"/>
      <c r="Y20" s="25" t="n"/>
      <c r="Z20" s="32">
        <f>IF(A20="","",IF(Y20&lt;&gt;"",Y20,MAX(1,ROUNDUP(N(O20)*Settings!$C$7,0))))</f>
        <v/>
      </c>
      <c r="AA20" s="38">
        <f>IF(A20="","",MAX(N(S20),_xlfn.MAXIFS(Log!$A$2:$A$1001,Log!$B$2:$B$1001,A20,Log!$C$2:$C$1001,"Count")))</f>
        <v/>
      </c>
      <c r="AB20" s="39">
        <f>IF(A20="","",Z20*N(L20))</f>
        <v/>
      </c>
      <c r="AC20" s="40">
        <f>IF(A20="","",N(O20)*52*N(L20))</f>
        <v/>
      </c>
      <c r="AD20" s="39">
        <f>IF(A20="","",C20*N(L20))</f>
        <v/>
      </c>
      <c r="AE20" s="41">
        <f>IF(A20="",0,IF(AND(OR(B20="Order now",B20="Critical"),F20=0),1,0))</f>
        <v/>
      </c>
      <c r="AF20" s="41">
        <f>IF(AE20=1,IFERROR(MATCH(H20,Suppliers!$B$5:$B$24,0),99)*1000+ROW(),"")</f>
        <v/>
      </c>
      <c r="AG20" s="41">
        <f>IF(AF20="","",COUNTIF('Stock list'!$AF$2:$AF$301,"&lt;"&amp;AF20)+1)</f>
        <v/>
      </c>
      <c r="AH20" s="41">
        <f>IF(A20="",0,IF(OR(AA20=0,AND(B20="OK",OR(C20&lt;=D20+N(O20)*Settings!$C$6,Settings!$C$10-AA20&gt;Settings!$C$8*7))),1,0))</f>
        <v/>
      </c>
      <c r="AI20" s="41">
        <f>IF(AH20=0,"",IF(AA20=0,"Never counted",IF(C20&lt;=D20+N(O20)*Settings!$C$6,"Near the reorder point","Not counted for "&amp;INT((Settings!$C$10-AA20)/7)&amp;" weeks")))</f>
        <v/>
      </c>
      <c r="AJ20" s="41">
        <f>IF(AH20=1,IFERROR(MATCH(M20,Settings!$G$19:$G$38,0),99)*1000+ROW(),"")</f>
        <v/>
      </c>
      <c r="AK20" s="41">
        <f>IF(AJ20="","",COUNTIF('Stock list'!$AJ$2:$AJ$301,"&lt;"&amp;AJ20)+1)</f>
        <v/>
      </c>
      <c r="AL20" s="41">
        <f>IF(OR(A20="",N(AC20)=0),"",AC20+ROW()/1000000)</f>
        <v/>
      </c>
    </row>
    <row r="21">
      <c r="A21" s="24" t="n"/>
      <c r="B21" s="30">
        <f>IF(A21="","",IF(AA21=0,"No count",IF(AND(N(O21)&gt;0,C21/O21*7&lt;Q21),"Critical",IF(F21&gt;0,"On order",IF(AND(D21&gt;0,C21&lt;=D21),"Order now","OK")))))</f>
        <v/>
      </c>
      <c r="C21" s="31">
        <f>IF(A21="","",MAX(0,IF(_xlfn.MAXIFS(Log!$A$2:$A$1001,Log!$B$2:$B$1001,A21,Log!$C$2:$C$1001,"Count")&gt;N(S21),_xlfn.MAXIFS(Log!$D$2:$D$1001,Log!$B$2:$B$1001,A21,Log!$C$2:$C$1001,"Count",Log!$A$2:$A$1001,AA21),N(R21))+SUMIFS(Log!$D$2:$D$1001,Log!$B$2:$B$1001,A21,Log!$C$2:$C$1001,"Received",Log!$A$2:$A$1001,"&gt;"&amp;AA21)-SUMIFS(Log!$D$2:$D$1001,Log!$B$2:$B$1001,A21,Log!$C$2:$C$1001,"Used",Log!$A$2:$A$1001,"&gt;"&amp;AA21)+SUMIFS(Log!$D$2:$D$1001,Log!$B$2:$B$1001,A21,Log!$C$2:$C$1001,"Adjustment",Log!$A$2:$A$1001,"&gt;"&amp;AA21)))</f>
        <v/>
      </c>
      <c r="D21" s="32">
        <f>IF(A21="","",IF(X21&lt;&gt;"",X21,W21))</f>
        <v/>
      </c>
      <c r="E21" s="33">
        <f>IF(OR(A21="",N(O21)=0),"",C21/O21)</f>
        <v/>
      </c>
      <c r="F21" s="31">
        <f>IF(A21="","",MAX(0,N(T21)-SUMIFS(Log!$D$2:$D$1001,Log!$B$2:$B$1001,A21,Log!$C$2:$C$1001,"Received",Log!$A$2:$A$1001,"&gt;="&amp;N(U21))))</f>
        <v/>
      </c>
      <c r="G21" s="24" t="n"/>
      <c r="H21" s="24" t="n"/>
      <c r="I21" s="24" t="n"/>
      <c r="J21" s="24" t="n"/>
      <c r="K21" s="24" t="n"/>
      <c r="L21" s="34" t="n"/>
      <c r="M21" s="24" t="n"/>
      <c r="N21" s="24" t="n"/>
      <c r="O21" s="35" t="n"/>
      <c r="P21" s="25" t="n"/>
      <c r="Q21" s="36">
        <f>IF(A21="","",IF(P21&lt;&gt;"",P21,IFERROR(IF(N(INDEX(Suppliers!$E$5:$E$24,MATCH(H21,Suppliers!$B$5:$B$24,0)))&gt;0,INDEX(Suppliers!$E$5:$E$24,MATCH(H21,Suppliers!$B$5:$B$24,0)),5),5)))</f>
        <v/>
      </c>
      <c r="R21" s="35" t="n"/>
      <c r="S21" s="37" t="n"/>
      <c r="T21" s="25" t="n"/>
      <c r="U21" s="37" t="n"/>
      <c r="V21" s="37" t="n"/>
      <c r="W21" s="36">
        <f>IF(A21="","",ROUNDUP(N(O21)*(Q21/7+Settings!$C$5),0))</f>
        <v/>
      </c>
      <c r="X21" s="25" t="n"/>
      <c r="Y21" s="25" t="n"/>
      <c r="Z21" s="32">
        <f>IF(A21="","",IF(Y21&lt;&gt;"",Y21,MAX(1,ROUNDUP(N(O21)*Settings!$C$7,0))))</f>
        <v/>
      </c>
      <c r="AA21" s="38">
        <f>IF(A21="","",MAX(N(S21),_xlfn.MAXIFS(Log!$A$2:$A$1001,Log!$B$2:$B$1001,A21,Log!$C$2:$C$1001,"Count")))</f>
        <v/>
      </c>
      <c r="AB21" s="39">
        <f>IF(A21="","",Z21*N(L21))</f>
        <v/>
      </c>
      <c r="AC21" s="40">
        <f>IF(A21="","",N(O21)*52*N(L21))</f>
        <v/>
      </c>
      <c r="AD21" s="39">
        <f>IF(A21="","",C21*N(L21))</f>
        <v/>
      </c>
      <c r="AE21" s="41">
        <f>IF(A21="",0,IF(AND(OR(B21="Order now",B21="Critical"),F21=0),1,0))</f>
        <v/>
      </c>
      <c r="AF21" s="41">
        <f>IF(AE21=1,IFERROR(MATCH(H21,Suppliers!$B$5:$B$24,0),99)*1000+ROW(),"")</f>
        <v/>
      </c>
      <c r="AG21" s="41">
        <f>IF(AF21="","",COUNTIF('Stock list'!$AF$2:$AF$301,"&lt;"&amp;AF21)+1)</f>
        <v/>
      </c>
      <c r="AH21" s="41">
        <f>IF(A21="",0,IF(OR(AA21=0,AND(B21="OK",OR(C21&lt;=D21+N(O21)*Settings!$C$6,Settings!$C$10-AA21&gt;Settings!$C$8*7))),1,0))</f>
        <v/>
      </c>
      <c r="AI21" s="41">
        <f>IF(AH21=0,"",IF(AA21=0,"Never counted",IF(C21&lt;=D21+N(O21)*Settings!$C$6,"Near the reorder point","Not counted for "&amp;INT((Settings!$C$10-AA21)/7)&amp;" weeks")))</f>
        <v/>
      </c>
      <c r="AJ21" s="41">
        <f>IF(AH21=1,IFERROR(MATCH(M21,Settings!$G$19:$G$38,0),99)*1000+ROW(),"")</f>
        <v/>
      </c>
      <c r="AK21" s="41">
        <f>IF(AJ21="","",COUNTIF('Stock list'!$AJ$2:$AJ$301,"&lt;"&amp;AJ21)+1)</f>
        <v/>
      </c>
      <c r="AL21" s="41">
        <f>IF(OR(A21="",N(AC21)=0),"",AC21+ROW()/1000000)</f>
        <v/>
      </c>
    </row>
    <row r="22">
      <c r="A22" s="24" t="n"/>
      <c r="B22" s="30">
        <f>IF(A22="","",IF(AA22=0,"No count",IF(AND(N(O22)&gt;0,C22/O22*7&lt;Q22),"Critical",IF(F22&gt;0,"On order",IF(AND(D22&gt;0,C22&lt;=D22),"Order now","OK")))))</f>
        <v/>
      </c>
      <c r="C22" s="31">
        <f>IF(A22="","",MAX(0,IF(_xlfn.MAXIFS(Log!$A$2:$A$1001,Log!$B$2:$B$1001,A22,Log!$C$2:$C$1001,"Count")&gt;N(S22),_xlfn.MAXIFS(Log!$D$2:$D$1001,Log!$B$2:$B$1001,A22,Log!$C$2:$C$1001,"Count",Log!$A$2:$A$1001,AA22),N(R22))+SUMIFS(Log!$D$2:$D$1001,Log!$B$2:$B$1001,A22,Log!$C$2:$C$1001,"Received",Log!$A$2:$A$1001,"&gt;"&amp;AA22)-SUMIFS(Log!$D$2:$D$1001,Log!$B$2:$B$1001,A22,Log!$C$2:$C$1001,"Used",Log!$A$2:$A$1001,"&gt;"&amp;AA22)+SUMIFS(Log!$D$2:$D$1001,Log!$B$2:$B$1001,A22,Log!$C$2:$C$1001,"Adjustment",Log!$A$2:$A$1001,"&gt;"&amp;AA22)))</f>
        <v/>
      </c>
      <c r="D22" s="32">
        <f>IF(A22="","",IF(X22&lt;&gt;"",X22,W22))</f>
        <v/>
      </c>
      <c r="E22" s="33">
        <f>IF(OR(A22="",N(O22)=0),"",C22/O22)</f>
        <v/>
      </c>
      <c r="F22" s="31">
        <f>IF(A22="","",MAX(0,N(T22)-SUMIFS(Log!$D$2:$D$1001,Log!$B$2:$B$1001,A22,Log!$C$2:$C$1001,"Received",Log!$A$2:$A$1001,"&gt;="&amp;N(U22))))</f>
        <v/>
      </c>
      <c r="G22" s="24" t="n"/>
      <c r="H22" s="24" t="n"/>
      <c r="I22" s="24" t="n"/>
      <c r="J22" s="24" t="n"/>
      <c r="K22" s="24" t="n"/>
      <c r="L22" s="34" t="n"/>
      <c r="M22" s="24" t="n"/>
      <c r="N22" s="24" t="n"/>
      <c r="O22" s="35" t="n"/>
      <c r="P22" s="25" t="n"/>
      <c r="Q22" s="36">
        <f>IF(A22="","",IF(P22&lt;&gt;"",P22,IFERROR(IF(N(INDEX(Suppliers!$E$5:$E$24,MATCH(H22,Suppliers!$B$5:$B$24,0)))&gt;0,INDEX(Suppliers!$E$5:$E$24,MATCH(H22,Suppliers!$B$5:$B$24,0)),5),5)))</f>
        <v/>
      </c>
      <c r="R22" s="35" t="n"/>
      <c r="S22" s="37" t="n"/>
      <c r="T22" s="25" t="n"/>
      <c r="U22" s="37" t="n"/>
      <c r="V22" s="37" t="n"/>
      <c r="W22" s="36">
        <f>IF(A22="","",ROUNDUP(N(O22)*(Q22/7+Settings!$C$5),0))</f>
        <v/>
      </c>
      <c r="X22" s="25" t="n"/>
      <c r="Y22" s="25" t="n"/>
      <c r="Z22" s="32">
        <f>IF(A22="","",IF(Y22&lt;&gt;"",Y22,MAX(1,ROUNDUP(N(O22)*Settings!$C$7,0))))</f>
        <v/>
      </c>
      <c r="AA22" s="38">
        <f>IF(A22="","",MAX(N(S22),_xlfn.MAXIFS(Log!$A$2:$A$1001,Log!$B$2:$B$1001,A22,Log!$C$2:$C$1001,"Count")))</f>
        <v/>
      </c>
      <c r="AB22" s="39">
        <f>IF(A22="","",Z22*N(L22))</f>
        <v/>
      </c>
      <c r="AC22" s="40">
        <f>IF(A22="","",N(O22)*52*N(L22))</f>
        <v/>
      </c>
      <c r="AD22" s="39">
        <f>IF(A22="","",C22*N(L22))</f>
        <v/>
      </c>
      <c r="AE22" s="41">
        <f>IF(A22="",0,IF(AND(OR(B22="Order now",B22="Critical"),F22=0),1,0))</f>
        <v/>
      </c>
      <c r="AF22" s="41">
        <f>IF(AE22=1,IFERROR(MATCH(H22,Suppliers!$B$5:$B$24,0),99)*1000+ROW(),"")</f>
        <v/>
      </c>
      <c r="AG22" s="41">
        <f>IF(AF22="","",COUNTIF('Stock list'!$AF$2:$AF$301,"&lt;"&amp;AF22)+1)</f>
        <v/>
      </c>
      <c r="AH22" s="41">
        <f>IF(A22="",0,IF(OR(AA22=0,AND(B22="OK",OR(C22&lt;=D22+N(O22)*Settings!$C$6,Settings!$C$10-AA22&gt;Settings!$C$8*7))),1,0))</f>
        <v/>
      </c>
      <c r="AI22" s="41">
        <f>IF(AH22=0,"",IF(AA22=0,"Never counted",IF(C22&lt;=D22+N(O22)*Settings!$C$6,"Near the reorder point","Not counted for "&amp;INT((Settings!$C$10-AA22)/7)&amp;" weeks")))</f>
        <v/>
      </c>
      <c r="AJ22" s="41">
        <f>IF(AH22=1,IFERROR(MATCH(M22,Settings!$G$19:$G$38,0),99)*1000+ROW(),"")</f>
        <v/>
      </c>
      <c r="AK22" s="41">
        <f>IF(AJ22="","",COUNTIF('Stock list'!$AJ$2:$AJ$301,"&lt;"&amp;AJ22)+1)</f>
        <v/>
      </c>
      <c r="AL22" s="41">
        <f>IF(OR(A22="",N(AC22)=0),"",AC22+ROW()/1000000)</f>
        <v/>
      </c>
    </row>
    <row r="23">
      <c r="A23" s="24" t="n"/>
      <c r="B23" s="30">
        <f>IF(A23="","",IF(AA23=0,"No count",IF(AND(N(O23)&gt;0,C23/O23*7&lt;Q23),"Critical",IF(F23&gt;0,"On order",IF(AND(D23&gt;0,C23&lt;=D23),"Order now","OK")))))</f>
        <v/>
      </c>
      <c r="C23" s="31">
        <f>IF(A23="","",MAX(0,IF(_xlfn.MAXIFS(Log!$A$2:$A$1001,Log!$B$2:$B$1001,A23,Log!$C$2:$C$1001,"Count")&gt;N(S23),_xlfn.MAXIFS(Log!$D$2:$D$1001,Log!$B$2:$B$1001,A23,Log!$C$2:$C$1001,"Count",Log!$A$2:$A$1001,AA23),N(R23))+SUMIFS(Log!$D$2:$D$1001,Log!$B$2:$B$1001,A23,Log!$C$2:$C$1001,"Received",Log!$A$2:$A$1001,"&gt;"&amp;AA23)-SUMIFS(Log!$D$2:$D$1001,Log!$B$2:$B$1001,A23,Log!$C$2:$C$1001,"Used",Log!$A$2:$A$1001,"&gt;"&amp;AA23)+SUMIFS(Log!$D$2:$D$1001,Log!$B$2:$B$1001,A23,Log!$C$2:$C$1001,"Adjustment",Log!$A$2:$A$1001,"&gt;"&amp;AA23)))</f>
        <v/>
      </c>
      <c r="D23" s="32">
        <f>IF(A23="","",IF(X23&lt;&gt;"",X23,W23))</f>
        <v/>
      </c>
      <c r="E23" s="33">
        <f>IF(OR(A23="",N(O23)=0),"",C23/O23)</f>
        <v/>
      </c>
      <c r="F23" s="31">
        <f>IF(A23="","",MAX(0,N(T23)-SUMIFS(Log!$D$2:$D$1001,Log!$B$2:$B$1001,A23,Log!$C$2:$C$1001,"Received",Log!$A$2:$A$1001,"&gt;="&amp;N(U23))))</f>
        <v/>
      </c>
      <c r="G23" s="24" t="n"/>
      <c r="H23" s="24" t="n"/>
      <c r="I23" s="24" t="n"/>
      <c r="J23" s="24" t="n"/>
      <c r="K23" s="24" t="n"/>
      <c r="L23" s="34" t="n"/>
      <c r="M23" s="24" t="n"/>
      <c r="N23" s="24" t="n"/>
      <c r="O23" s="35" t="n"/>
      <c r="P23" s="25" t="n"/>
      <c r="Q23" s="36">
        <f>IF(A23="","",IF(P23&lt;&gt;"",P23,IFERROR(IF(N(INDEX(Suppliers!$E$5:$E$24,MATCH(H23,Suppliers!$B$5:$B$24,0)))&gt;0,INDEX(Suppliers!$E$5:$E$24,MATCH(H23,Suppliers!$B$5:$B$24,0)),5),5)))</f>
        <v/>
      </c>
      <c r="R23" s="35" t="n"/>
      <c r="S23" s="37" t="n"/>
      <c r="T23" s="25" t="n"/>
      <c r="U23" s="37" t="n"/>
      <c r="V23" s="37" t="n"/>
      <c r="W23" s="36">
        <f>IF(A23="","",ROUNDUP(N(O23)*(Q23/7+Settings!$C$5),0))</f>
        <v/>
      </c>
      <c r="X23" s="25" t="n"/>
      <c r="Y23" s="25" t="n"/>
      <c r="Z23" s="32">
        <f>IF(A23="","",IF(Y23&lt;&gt;"",Y23,MAX(1,ROUNDUP(N(O23)*Settings!$C$7,0))))</f>
        <v/>
      </c>
      <c r="AA23" s="38">
        <f>IF(A23="","",MAX(N(S23),_xlfn.MAXIFS(Log!$A$2:$A$1001,Log!$B$2:$B$1001,A23,Log!$C$2:$C$1001,"Count")))</f>
        <v/>
      </c>
      <c r="AB23" s="39">
        <f>IF(A23="","",Z23*N(L23))</f>
        <v/>
      </c>
      <c r="AC23" s="40">
        <f>IF(A23="","",N(O23)*52*N(L23))</f>
        <v/>
      </c>
      <c r="AD23" s="39">
        <f>IF(A23="","",C23*N(L23))</f>
        <v/>
      </c>
      <c r="AE23" s="41">
        <f>IF(A23="",0,IF(AND(OR(B23="Order now",B23="Critical"),F23=0),1,0))</f>
        <v/>
      </c>
      <c r="AF23" s="41">
        <f>IF(AE23=1,IFERROR(MATCH(H23,Suppliers!$B$5:$B$24,0),99)*1000+ROW(),"")</f>
        <v/>
      </c>
      <c r="AG23" s="41">
        <f>IF(AF23="","",COUNTIF('Stock list'!$AF$2:$AF$301,"&lt;"&amp;AF23)+1)</f>
        <v/>
      </c>
      <c r="AH23" s="41">
        <f>IF(A23="",0,IF(OR(AA23=0,AND(B23="OK",OR(C23&lt;=D23+N(O23)*Settings!$C$6,Settings!$C$10-AA23&gt;Settings!$C$8*7))),1,0))</f>
        <v/>
      </c>
      <c r="AI23" s="41">
        <f>IF(AH23=0,"",IF(AA23=0,"Never counted",IF(C23&lt;=D23+N(O23)*Settings!$C$6,"Near the reorder point","Not counted for "&amp;INT((Settings!$C$10-AA23)/7)&amp;" weeks")))</f>
        <v/>
      </c>
      <c r="AJ23" s="41">
        <f>IF(AH23=1,IFERROR(MATCH(M23,Settings!$G$19:$G$38,0),99)*1000+ROW(),"")</f>
        <v/>
      </c>
      <c r="AK23" s="41">
        <f>IF(AJ23="","",COUNTIF('Stock list'!$AJ$2:$AJ$301,"&lt;"&amp;AJ23)+1)</f>
        <v/>
      </c>
      <c r="AL23" s="41">
        <f>IF(OR(A23="",N(AC23)=0),"",AC23+ROW()/1000000)</f>
        <v/>
      </c>
    </row>
    <row r="24">
      <c r="A24" s="24" t="n"/>
      <c r="B24" s="30">
        <f>IF(A24="","",IF(AA24=0,"No count",IF(AND(N(O24)&gt;0,C24/O24*7&lt;Q24),"Critical",IF(F24&gt;0,"On order",IF(AND(D24&gt;0,C24&lt;=D24),"Order now","OK")))))</f>
        <v/>
      </c>
      <c r="C24" s="31">
        <f>IF(A24="","",MAX(0,IF(_xlfn.MAXIFS(Log!$A$2:$A$1001,Log!$B$2:$B$1001,A24,Log!$C$2:$C$1001,"Count")&gt;N(S24),_xlfn.MAXIFS(Log!$D$2:$D$1001,Log!$B$2:$B$1001,A24,Log!$C$2:$C$1001,"Count",Log!$A$2:$A$1001,AA24),N(R24))+SUMIFS(Log!$D$2:$D$1001,Log!$B$2:$B$1001,A24,Log!$C$2:$C$1001,"Received",Log!$A$2:$A$1001,"&gt;"&amp;AA24)-SUMIFS(Log!$D$2:$D$1001,Log!$B$2:$B$1001,A24,Log!$C$2:$C$1001,"Used",Log!$A$2:$A$1001,"&gt;"&amp;AA24)+SUMIFS(Log!$D$2:$D$1001,Log!$B$2:$B$1001,A24,Log!$C$2:$C$1001,"Adjustment",Log!$A$2:$A$1001,"&gt;"&amp;AA24)))</f>
        <v/>
      </c>
      <c r="D24" s="32">
        <f>IF(A24="","",IF(X24&lt;&gt;"",X24,W24))</f>
        <v/>
      </c>
      <c r="E24" s="33">
        <f>IF(OR(A24="",N(O24)=0),"",C24/O24)</f>
        <v/>
      </c>
      <c r="F24" s="31">
        <f>IF(A24="","",MAX(0,N(T24)-SUMIFS(Log!$D$2:$D$1001,Log!$B$2:$B$1001,A24,Log!$C$2:$C$1001,"Received",Log!$A$2:$A$1001,"&gt;="&amp;N(U24))))</f>
        <v/>
      </c>
      <c r="G24" s="24" t="n"/>
      <c r="H24" s="24" t="n"/>
      <c r="I24" s="24" t="n"/>
      <c r="J24" s="24" t="n"/>
      <c r="K24" s="24" t="n"/>
      <c r="L24" s="34" t="n"/>
      <c r="M24" s="24" t="n"/>
      <c r="N24" s="24" t="n"/>
      <c r="O24" s="35" t="n"/>
      <c r="P24" s="25" t="n"/>
      <c r="Q24" s="36">
        <f>IF(A24="","",IF(P24&lt;&gt;"",P24,IFERROR(IF(N(INDEX(Suppliers!$E$5:$E$24,MATCH(H24,Suppliers!$B$5:$B$24,0)))&gt;0,INDEX(Suppliers!$E$5:$E$24,MATCH(H24,Suppliers!$B$5:$B$24,0)),5),5)))</f>
        <v/>
      </c>
      <c r="R24" s="35" t="n"/>
      <c r="S24" s="37" t="n"/>
      <c r="T24" s="25" t="n"/>
      <c r="U24" s="37" t="n"/>
      <c r="V24" s="37" t="n"/>
      <c r="W24" s="36">
        <f>IF(A24="","",ROUNDUP(N(O24)*(Q24/7+Settings!$C$5),0))</f>
        <v/>
      </c>
      <c r="X24" s="25" t="n"/>
      <c r="Y24" s="25" t="n"/>
      <c r="Z24" s="32">
        <f>IF(A24="","",IF(Y24&lt;&gt;"",Y24,MAX(1,ROUNDUP(N(O24)*Settings!$C$7,0))))</f>
        <v/>
      </c>
      <c r="AA24" s="38">
        <f>IF(A24="","",MAX(N(S24),_xlfn.MAXIFS(Log!$A$2:$A$1001,Log!$B$2:$B$1001,A24,Log!$C$2:$C$1001,"Count")))</f>
        <v/>
      </c>
      <c r="AB24" s="39">
        <f>IF(A24="","",Z24*N(L24))</f>
        <v/>
      </c>
      <c r="AC24" s="40">
        <f>IF(A24="","",N(O24)*52*N(L24))</f>
        <v/>
      </c>
      <c r="AD24" s="39">
        <f>IF(A24="","",C24*N(L24))</f>
        <v/>
      </c>
      <c r="AE24" s="41">
        <f>IF(A24="",0,IF(AND(OR(B24="Order now",B24="Critical"),F24=0),1,0))</f>
        <v/>
      </c>
      <c r="AF24" s="41">
        <f>IF(AE24=1,IFERROR(MATCH(H24,Suppliers!$B$5:$B$24,0),99)*1000+ROW(),"")</f>
        <v/>
      </c>
      <c r="AG24" s="41">
        <f>IF(AF24="","",COUNTIF('Stock list'!$AF$2:$AF$301,"&lt;"&amp;AF24)+1)</f>
        <v/>
      </c>
      <c r="AH24" s="41">
        <f>IF(A24="",0,IF(OR(AA24=0,AND(B24="OK",OR(C24&lt;=D24+N(O24)*Settings!$C$6,Settings!$C$10-AA24&gt;Settings!$C$8*7))),1,0))</f>
        <v/>
      </c>
      <c r="AI24" s="41">
        <f>IF(AH24=0,"",IF(AA24=0,"Never counted",IF(C24&lt;=D24+N(O24)*Settings!$C$6,"Near the reorder point","Not counted for "&amp;INT((Settings!$C$10-AA24)/7)&amp;" weeks")))</f>
        <v/>
      </c>
      <c r="AJ24" s="41">
        <f>IF(AH24=1,IFERROR(MATCH(M24,Settings!$G$19:$G$38,0),99)*1000+ROW(),"")</f>
        <v/>
      </c>
      <c r="AK24" s="41">
        <f>IF(AJ24="","",COUNTIF('Stock list'!$AJ$2:$AJ$301,"&lt;"&amp;AJ24)+1)</f>
        <v/>
      </c>
      <c r="AL24" s="41">
        <f>IF(OR(A24="",N(AC24)=0),"",AC24+ROW()/1000000)</f>
        <v/>
      </c>
    </row>
    <row r="25">
      <c r="A25" s="24" t="n"/>
      <c r="B25" s="30">
        <f>IF(A25="","",IF(AA25=0,"No count",IF(AND(N(O25)&gt;0,C25/O25*7&lt;Q25),"Critical",IF(F25&gt;0,"On order",IF(AND(D25&gt;0,C25&lt;=D25),"Order now","OK")))))</f>
        <v/>
      </c>
      <c r="C25" s="31">
        <f>IF(A25="","",MAX(0,IF(_xlfn.MAXIFS(Log!$A$2:$A$1001,Log!$B$2:$B$1001,A25,Log!$C$2:$C$1001,"Count")&gt;N(S25),_xlfn.MAXIFS(Log!$D$2:$D$1001,Log!$B$2:$B$1001,A25,Log!$C$2:$C$1001,"Count",Log!$A$2:$A$1001,AA25),N(R25))+SUMIFS(Log!$D$2:$D$1001,Log!$B$2:$B$1001,A25,Log!$C$2:$C$1001,"Received",Log!$A$2:$A$1001,"&gt;"&amp;AA25)-SUMIFS(Log!$D$2:$D$1001,Log!$B$2:$B$1001,A25,Log!$C$2:$C$1001,"Used",Log!$A$2:$A$1001,"&gt;"&amp;AA25)+SUMIFS(Log!$D$2:$D$1001,Log!$B$2:$B$1001,A25,Log!$C$2:$C$1001,"Adjustment",Log!$A$2:$A$1001,"&gt;"&amp;AA25)))</f>
        <v/>
      </c>
      <c r="D25" s="32">
        <f>IF(A25="","",IF(X25&lt;&gt;"",X25,W25))</f>
        <v/>
      </c>
      <c r="E25" s="33">
        <f>IF(OR(A25="",N(O25)=0),"",C25/O25)</f>
        <v/>
      </c>
      <c r="F25" s="31">
        <f>IF(A25="","",MAX(0,N(T25)-SUMIFS(Log!$D$2:$D$1001,Log!$B$2:$B$1001,A25,Log!$C$2:$C$1001,"Received",Log!$A$2:$A$1001,"&gt;="&amp;N(U25))))</f>
        <v/>
      </c>
      <c r="G25" s="24" t="n"/>
      <c r="H25" s="24" t="n"/>
      <c r="I25" s="24" t="n"/>
      <c r="J25" s="24" t="n"/>
      <c r="K25" s="24" t="n"/>
      <c r="L25" s="34" t="n"/>
      <c r="M25" s="24" t="n"/>
      <c r="N25" s="24" t="n"/>
      <c r="O25" s="35" t="n"/>
      <c r="P25" s="25" t="n"/>
      <c r="Q25" s="36">
        <f>IF(A25="","",IF(P25&lt;&gt;"",P25,IFERROR(IF(N(INDEX(Suppliers!$E$5:$E$24,MATCH(H25,Suppliers!$B$5:$B$24,0)))&gt;0,INDEX(Suppliers!$E$5:$E$24,MATCH(H25,Suppliers!$B$5:$B$24,0)),5),5)))</f>
        <v/>
      </c>
      <c r="R25" s="35" t="n"/>
      <c r="S25" s="37" t="n"/>
      <c r="T25" s="25" t="n"/>
      <c r="U25" s="37" t="n"/>
      <c r="V25" s="37" t="n"/>
      <c r="W25" s="36">
        <f>IF(A25="","",ROUNDUP(N(O25)*(Q25/7+Settings!$C$5),0))</f>
        <v/>
      </c>
      <c r="X25" s="25" t="n"/>
      <c r="Y25" s="25" t="n"/>
      <c r="Z25" s="32">
        <f>IF(A25="","",IF(Y25&lt;&gt;"",Y25,MAX(1,ROUNDUP(N(O25)*Settings!$C$7,0))))</f>
        <v/>
      </c>
      <c r="AA25" s="38">
        <f>IF(A25="","",MAX(N(S25),_xlfn.MAXIFS(Log!$A$2:$A$1001,Log!$B$2:$B$1001,A25,Log!$C$2:$C$1001,"Count")))</f>
        <v/>
      </c>
      <c r="AB25" s="39">
        <f>IF(A25="","",Z25*N(L25))</f>
        <v/>
      </c>
      <c r="AC25" s="40">
        <f>IF(A25="","",N(O25)*52*N(L25))</f>
        <v/>
      </c>
      <c r="AD25" s="39">
        <f>IF(A25="","",C25*N(L25))</f>
        <v/>
      </c>
      <c r="AE25" s="41">
        <f>IF(A25="",0,IF(AND(OR(B25="Order now",B25="Critical"),F25=0),1,0))</f>
        <v/>
      </c>
      <c r="AF25" s="41">
        <f>IF(AE25=1,IFERROR(MATCH(H25,Suppliers!$B$5:$B$24,0),99)*1000+ROW(),"")</f>
        <v/>
      </c>
      <c r="AG25" s="41">
        <f>IF(AF25="","",COUNTIF('Stock list'!$AF$2:$AF$301,"&lt;"&amp;AF25)+1)</f>
        <v/>
      </c>
      <c r="AH25" s="41">
        <f>IF(A25="",0,IF(OR(AA25=0,AND(B25="OK",OR(C25&lt;=D25+N(O25)*Settings!$C$6,Settings!$C$10-AA25&gt;Settings!$C$8*7))),1,0))</f>
        <v/>
      </c>
      <c r="AI25" s="41">
        <f>IF(AH25=0,"",IF(AA25=0,"Never counted",IF(C25&lt;=D25+N(O25)*Settings!$C$6,"Near the reorder point","Not counted for "&amp;INT((Settings!$C$10-AA25)/7)&amp;" weeks")))</f>
        <v/>
      </c>
      <c r="AJ25" s="41">
        <f>IF(AH25=1,IFERROR(MATCH(M25,Settings!$G$19:$G$38,0),99)*1000+ROW(),"")</f>
        <v/>
      </c>
      <c r="AK25" s="41">
        <f>IF(AJ25="","",COUNTIF('Stock list'!$AJ$2:$AJ$301,"&lt;"&amp;AJ25)+1)</f>
        <v/>
      </c>
      <c r="AL25" s="41">
        <f>IF(OR(A25="",N(AC25)=0),"",AC25+ROW()/1000000)</f>
        <v/>
      </c>
    </row>
    <row r="26">
      <c r="A26" s="24" t="n"/>
      <c r="B26" s="30">
        <f>IF(A26="","",IF(AA26=0,"No count",IF(AND(N(O26)&gt;0,C26/O26*7&lt;Q26),"Critical",IF(F26&gt;0,"On order",IF(AND(D26&gt;0,C26&lt;=D26),"Order now","OK")))))</f>
        <v/>
      </c>
      <c r="C26" s="31">
        <f>IF(A26="","",MAX(0,IF(_xlfn.MAXIFS(Log!$A$2:$A$1001,Log!$B$2:$B$1001,A26,Log!$C$2:$C$1001,"Count")&gt;N(S26),_xlfn.MAXIFS(Log!$D$2:$D$1001,Log!$B$2:$B$1001,A26,Log!$C$2:$C$1001,"Count",Log!$A$2:$A$1001,AA26),N(R26))+SUMIFS(Log!$D$2:$D$1001,Log!$B$2:$B$1001,A26,Log!$C$2:$C$1001,"Received",Log!$A$2:$A$1001,"&gt;"&amp;AA26)-SUMIFS(Log!$D$2:$D$1001,Log!$B$2:$B$1001,A26,Log!$C$2:$C$1001,"Used",Log!$A$2:$A$1001,"&gt;"&amp;AA26)+SUMIFS(Log!$D$2:$D$1001,Log!$B$2:$B$1001,A26,Log!$C$2:$C$1001,"Adjustment",Log!$A$2:$A$1001,"&gt;"&amp;AA26)))</f>
        <v/>
      </c>
      <c r="D26" s="32">
        <f>IF(A26="","",IF(X26&lt;&gt;"",X26,W26))</f>
        <v/>
      </c>
      <c r="E26" s="33">
        <f>IF(OR(A26="",N(O26)=0),"",C26/O26)</f>
        <v/>
      </c>
      <c r="F26" s="31">
        <f>IF(A26="","",MAX(0,N(T26)-SUMIFS(Log!$D$2:$D$1001,Log!$B$2:$B$1001,A26,Log!$C$2:$C$1001,"Received",Log!$A$2:$A$1001,"&gt;="&amp;N(U26))))</f>
        <v/>
      </c>
      <c r="G26" s="24" t="n"/>
      <c r="H26" s="24" t="n"/>
      <c r="I26" s="24" t="n"/>
      <c r="J26" s="24" t="n"/>
      <c r="K26" s="24" t="n"/>
      <c r="L26" s="34" t="n"/>
      <c r="M26" s="24" t="n"/>
      <c r="N26" s="24" t="n"/>
      <c r="O26" s="35" t="n"/>
      <c r="P26" s="25" t="n"/>
      <c r="Q26" s="36">
        <f>IF(A26="","",IF(P26&lt;&gt;"",P26,IFERROR(IF(N(INDEX(Suppliers!$E$5:$E$24,MATCH(H26,Suppliers!$B$5:$B$24,0)))&gt;0,INDEX(Suppliers!$E$5:$E$24,MATCH(H26,Suppliers!$B$5:$B$24,0)),5),5)))</f>
        <v/>
      </c>
      <c r="R26" s="35" t="n"/>
      <c r="S26" s="37" t="n"/>
      <c r="T26" s="25" t="n"/>
      <c r="U26" s="37" t="n"/>
      <c r="V26" s="37" t="n"/>
      <c r="W26" s="36">
        <f>IF(A26="","",ROUNDUP(N(O26)*(Q26/7+Settings!$C$5),0))</f>
        <v/>
      </c>
      <c r="X26" s="25" t="n"/>
      <c r="Y26" s="25" t="n"/>
      <c r="Z26" s="32">
        <f>IF(A26="","",IF(Y26&lt;&gt;"",Y26,MAX(1,ROUNDUP(N(O26)*Settings!$C$7,0))))</f>
        <v/>
      </c>
      <c r="AA26" s="38">
        <f>IF(A26="","",MAX(N(S26),_xlfn.MAXIFS(Log!$A$2:$A$1001,Log!$B$2:$B$1001,A26,Log!$C$2:$C$1001,"Count")))</f>
        <v/>
      </c>
      <c r="AB26" s="39">
        <f>IF(A26="","",Z26*N(L26))</f>
        <v/>
      </c>
      <c r="AC26" s="40">
        <f>IF(A26="","",N(O26)*52*N(L26))</f>
        <v/>
      </c>
      <c r="AD26" s="39">
        <f>IF(A26="","",C26*N(L26))</f>
        <v/>
      </c>
      <c r="AE26" s="41">
        <f>IF(A26="",0,IF(AND(OR(B26="Order now",B26="Critical"),F26=0),1,0))</f>
        <v/>
      </c>
      <c r="AF26" s="41">
        <f>IF(AE26=1,IFERROR(MATCH(H26,Suppliers!$B$5:$B$24,0),99)*1000+ROW(),"")</f>
        <v/>
      </c>
      <c r="AG26" s="41">
        <f>IF(AF26="","",COUNTIF('Stock list'!$AF$2:$AF$301,"&lt;"&amp;AF26)+1)</f>
        <v/>
      </c>
      <c r="AH26" s="41">
        <f>IF(A26="",0,IF(OR(AA26=0,AND(B26="OK",OR(C26&lt;=D26+N(O26)*Settings!$C$6,Settings!$C$10-AA26&gt;Settings!$C$8*7))),1,0))</f>
        <v/>
      </c>
      <c r="AI26" s="41">
        <f>IF(AH26=0,"",IF(AA26=0,"Never counted",IF(C26&lt;=D26+N(O26)*Settings!$C$6,"Near the reorder point","Not counted for "&amp;INT((Settings!$C$10-AA26)/7)&amp;" weeks")))</f>
        <v/>
      </c>
      <c r="AJ26" s="41">
        <f>IF(AH26=1,IFERROR(MATCH(M26,Settings!$G$19:$G$38,0),99)*1000+ROW(),"")</f>
        <v/>
      </c>
      <c r="AK26" s="41">
        <f>IF(AJ26="","",COUNTIF('Stock list'!$AJ$2:$AJ$301,"&lt;"&amp;AJ26)+1)</f>
        <v/>
      </c>
      <c r="AL26" s="41">
        <f>IF(OR(A26="",N(AC26)=0),"",AC26+ROW()/1000000)</f>
        <v/>
      </c>
    </row>
    <row r="27">
      <c r="A27" s="24" t="n"/>
      <c r="B27" s="30">
        <f>IF(A27="","",IF(AA27=0,"No count",IF(AND(N(O27)&gt;0,C27/O27*7&lt;Q27),"Critical",IF(F27&gt;0,"On order",IF(AND(D27&gt;0,C27&lt;=D27),"Order now","OK")))))</f>
        <v/>
      </c>
      <c r="C27" s="31">
        <f>IF(A27="","",MAX(0,IF(_xlfn.MAXIFS(Log!$A$2:$A$1001,Log!$B$2:$B$1001,A27,Log!$C$2:$C$1001,"Count")&gt;N(S27),_xlfn.MAXIFS(Log!$D$2:$D$1001,Log!$B$2:$B$1001,A27,Log!$C$2:$C$1001,"Count",Log!$A$2:$A$1001,AA27),N(R27))+SUMIFS(Log!$D$2:$D$1001,Log!$B$2:$B$1001,A27,Log!$C$2:$C$1001,"Received",Log!$A$2:$A$1001,"&gt;"&amp;AA27)-SUMIFS(Log!$D$2:$D$1001,Log!$B$2:$B$1001,A27,Log!$C$2:$C$1001,"Used",Log!$A$2:$A$1001,"&gt;"&amp;AA27)+SUMIFS(Log!$D$2:$D$1001,Log!$B$2:$B$1001,A27,Log!$C$2:$C$1001,"Adjustment",Log!$A$2:$A$1001,"&gt;"&amp;AA27)))</f>
        <v/>
      </c>
      <c r="D27" s="32">
        <f>IF(A27="","",IF(X27&lt;&gt;"",X27,W27))</f>
        <v/>
      </c>
      <c r="E27" s="33">
        <f>IF(OR(A27="",N(O27)=0),"",C27/O27)</f>
        <v/>
      </c>
      <c r="F27" s="31">
        <f>IF(A27="","",MAX(0,N(T27)-SUMIFS(Log!$D$2:$D$1001,Log!$B$2:$B$1001,A27,Log!$C$2:$C$1001,"Received",Log!$A$2:$A$1001,"&gt;="&amp;N(U27))))</f>
        <v/>
      </c>
      <c r="G27" s="24" t="n"/>
      <c r="H27" s="24" t="n"/>
      <c r="I27" s="24" t="n"/>
      <c r="J27" s="24" t="n"/>
      <c r="K27" s="24" t="n"/>
      <c r="L27" s="34" t="n"/>
      <c r="M27" s="24" t="n"/>
      <c r="N27" s="24" t="n"/>
      <c r="O27" s="35" t="n"/>
      <c r="P27" s="25" t="n"/>
      <c r="Q27" s="36">
        <f>IF(A27="","",IF(P27&lt;&gt;"",P27,IFERROR(IF(N(INDEX(Suppliers!$E$5:$E$24,MATCH(H27,Suppliers!$B$5:$B$24,0)))&gt;0,INDEX(Suppliers!$E$5:$E$24,MATCH(H27,Suppliers!$B$5:$B$24,0)),5),5)))</f>
        <v/>
      </c>
      <c r="R27" s="35" t="n"/>
      <c r="S27" s="37" t="n"/>
      <c r="T27" s="25" t="n"/>
      <c r="U27" s="37" t="n"/>
      <c r="V27" s="37" t="n"/>
      <c r="W27" s="36">
        <f>IF(A27="","",ROUNDUP(N(O27)*(Q27/7+Settings!$C$5),0))</f>
        <v/>
      </c>
      <c r="X27" s="25" t="n"/>
      <c r="Y27" s="25" t="n"/>
      <c r="Z27" s="32">
        <f>IF(A27="","",IF(Y27&lt;&gt;"",Y27,MAX(1,ROUNDUP(N(O27)*Settings!$C$7,0))))</f>
        <v/>
      </c>
      <c r="AA27" s="38">
        <f>IF(A27="","",MAX(N(S27),_xlfn.MAXIFS(Log!$A$2:$A$1001,Log!$B$2:$B$1001,A27,Log!$C$2:$C$1001,"Count")))</f>
        <v/>
      </c>
      <c r="AB27" s="39">
        <f>IF(A27="","",Z27*N(L27))</f>
        <v/>
      </c>
      <c r="AC27" s="40">
        <f>IF(A27="","",N(O27)*52*N(L27))</f>
        <v/>
      </c>
      <c r="AD27" s="39">
        <f>IF(A27="","",C27*N(L27))</f>
        <v/>
      </c>
      <c r="AE27" s="41">
        <f>IF(A27="",0,IF(AND(OR(B27="Order now",B27="Critical"),F27=0),1,0))</f>
        <v/>
      </c>
      <c r="AF27" s="41">
        <f>IF(AE27=1,IFERROR(MATCH(H27,Suppliers!$B$5:$B$24,0),99)*1000+ROW(),"")</f>
        <v/>
      </c>
      <c r="AG27" s="41">
        <f>IF(AF27="","",COUNTIF('Stock list'!$AF$2:$AF$301,"&lt;"&amp;AF27)+1)</f>
        <v/>
      </c>
      <c r="AH27" s="41">
        <f>IF(A27="",0,IF(OR(AA27=0,AND(B27="OK",OR(C27&lt;=D27+N(O27)*Settings!$C$6,Settings!$C$10-AA27&gt;Settings!$C$8*7))),1,0))</f>
        <v/>
      </c>
      <c r="AI27" s="41">
        <f>IF(AH27=0,"",IF(AA27=0,"Never counted",IF(C27&lt;=D27+N(O27)*Settings!$C$6,"Near the reorder point","Not counted for "&amp;INT((Settings!$C$10-AA27)/7)&amp;" weeks")))</f>
        <v/>
      </c>
      <c r="AJ27" s="41">
        <f>IF(AH27=1,IFERROR(MATCH(M27,Settings!$G$19:$G$38,0),99)*1000+ROW(),"")</f>
        <v/>
      </c>
      <c r="AK27" s="41">
        <f>IF(AJ27="","",COUNTIF('Stock list'!$AJ$2:$AJ$301,"&lt;"&amp;AJ27)+1)</f>
        <v/>
      </c>
      <c r="AL27" s="41">
        <f>IF(OR(A27="",N(AC27)=0),"",AC27+ROW()/1000000)</f>
        <v/>
      </c>
    </row>
    <row r="28">
      <c r="A28" s="24" t="n"/>
      <c r="B28" s="30">
        <f>IF(A28="","",IF(AA28=0,"No count",IF(AND(N(O28)&gt;0,C28/O28*7&lt;Q28),"Critical",IF(F28&gt;0,"On order",IF(AND(D28&gt;0,C28&lt;=D28),"Order now","OK")))))</f>
        <v/>
      </c>
      <c r="C28" s="31">
        <f>IF(A28="","",MAX(0,IF(_xlfn.MAXIFS(Log!$A$2:$A$1001,Log!$B$2:$B$1001,A28,Log!$C$2:$C$1001,"Count")&gt;N(S28),_xlfn.MAXIFS(Log!$D$2:$D$1001,Log!$B$2:$B$1001,A28,Log!$C$2:$C$1001,"Count",Log!$A$2:$A$1001,AA28),N(R28))+SUMIFS(Log!$D$2:$D$1001,Log!$B$2:$B$1001,A28,Log!$C$2:$C$1001,"Received",Log!$A$2:$A$1001,"&gt;"&amp;AA28)-SUMIFS(Log!$D$2:$D$1001,Log!$B$2:$B$1001,A28,Log!$C$2:$C$1001,"Used",Log!$A$2:$A$1001,"&gt;"&amp;AA28)+SUMIFS(Log!$D$2:$D$1001,Log!$B$2:$B$1001,A28,Log!$C$2:$C$1001,"Adjustment",Log!$A$2:$A$1001,"&gt;"&amp;AA28)))</f>
        <v/>
      </c>
      <c r="D28" s="32">
        <f>IF(A28="","",IF(X28&lt;&gt;"",X28,W28))</f>
        <v/>
      </c>
      <c r="E28" s="33">
        <f>IF(OR(A28="",N(O28)=0),"",C28/O28)</f>
        <v/>
      </c>
      <c r="F28" s="31">
        <f>IF(A28="","",MAX(0,N(T28)-SUMIFS(Log!$D$2:$D$1001,Log!$B$2:$B$1001,A28,Log!$C$2:$C$1001,"Received",Log!$A$2:$A$1001,"&gt;="&amp;N(U28))))</f>
        <v/>
      </c>
      <c r="G28" s="24" t="n"/>
      <c r="H28" s="24" t="n"/>
      <c r="I28" s="24" t="n"/>
      <c r="J28" s="24" t="n"/>
      <c r="K28" s="24" t="n"/>
      <c r="L28" s="34" t="n"/>
      <c r="M28" s="24" t="n"/>
      <c r="N28" s="24" t="n"/>
      <c r="O28" s="35" t="n"/>
      <c r="P28" s="25" t="n"/>
      <c r="Q28" s="36">
        <f>IF(A28="","",IF(P28&lt;&gt;"",P28,IFERROR(IF(N(INDEX(Suppliers!$E$5:$E$24,MATCH(H28,Suppliers!$B$5:$B$24,0)))&gt;0,INDEX(Suppliers!$E$5:$E$24,MATCH(H28,Suppliers!$B$5:$B$24,0)),5),5)))</f>
        <v/>
      </c>
      <c r="R28" s="35" t="n"/>
      <c r="S28" s="37" t="n"/>
      <c r="T28" s="25" t="n"/>
      <c r="U28" s="37" t="n"/>
      <c r="V28" s="37" t="n"/>
      <c r="W28" s="36">
        <f>IF(A28="","",ROUNDUP(N(O28)*(Q28/7+Settings!$C$5),0))</f>
        <v/>
      </c>
      <c r="X28" s="25" t="n"/>
      <c r="Y28" s="25" t="n"/>
      <c r="Z28" s="32">
        <f>IF(A28="","",IF(Y28&lt;&gt;"",Y28,MAX(1,ROUNDUP(N(O28)*Settings!$C$7,0))))</f>
        <v/>
      </c>
      <c r="AA28" s="38">
        <f>IF(A28="","",MAX(N(S28),_xlfn.MAXIFS(Log!$A$2:$A$1001,Log!$B$2:$B$1001,A28,Log!$C$2:$C$1001,"Count")))</f>
        <v/>
      </c>
      <c r="AB28" s="39">
        <f>IF(A28="","",Z28*N(L28))</f>
        <v/>
      </c>
      <c r="AC28" s="40">
        <f>IF(A28="","",N(O28)*52*N(L28))</f>
        <v/>
      </c>
      <c r="AD28" s="39">
        <f>IF(A28="","",C28*N(L28))</f>
        <v/>
      </c>
      <c r="AE28" s="41">
        <f>IF(A28="",0,IF(AND(OR(B28="Order now",B28="Critical"),F28=0),1,0))</f>
        <v/>
      </c>
      <c r="AF28" s="41">
        <f>IF(AE28=1,IFERROR(MATCH(H28,Suppliers!$B$5:$B$24,0),99)*1000+ROW(),"")</f>
        <v/>
      </c>
      <c r="AG28" s="41">
        <f>IF(AF28="","",COUNTIF('Stock list'!$AF$2:$AF$301,"&lt;"&amp;AF28)+1)</f>
        <v/>
      </c>
      <c r="AH28" s="41">
        <f>IF(A28="",0,IF(OR(AA28=0,AND(B28="OK",OR(C28&lt;=D28+N(O28)*Settings!$C$6,Settings!$C$10-AA28&gt;Settings!$C$8*7))),1,0))</f>
        <v/>
      </c>
      <c r="AI28" s="41">
        <f>IF(AH28=0,"",IF(AA28=0,"Never counted",IF(C28&lt;=D28+N(O28)*Settings!$C$6,"Near the reorder point","Not counted for "&amp;INT((Settings!$C$10-AA28)/7)&amp;" weeks")))</f>
        <v/>
      </c>
      <c r="AJ28" s="41">
        <f>IF(AH28=1,IFERROR(MATCH(M28,Settings!$G$19:$G$38,0),99)*1000+ROW(),"")</f>
        <v/>
      </c>
      <c r="AK28" s="41">
        <f>IF(AJ28="","",COUNTIF('Stock list'!$AJ$2:$AJ$301,"&lt;"&amp;AJ28)+1)</f>
        <v/>
      </c>
      <c r="AL28" s="41">
        <f>IF(OR(A28="",N(AC28)=0),"",AC28+ROW()/1000000)</f>
        <v/>
      </c>
    </row>
    <row r="29">
      <c r="A29" s="24" t="n"/>
      <c r="B29" s="30">
        <f>IF(A29="","",IF(AA29=0,"No count",IF(AND(N(O29)&gt;0,C29/O29*7&lt;Q29),"Critical",IF(F29&gt;0,"On order",IF(AND(D29&gt;0,C29&lt;=D29),"Order now","OK")))))</f>
        <v/>
      </c>
      <c r="C29" s="31">
        <f>IF(A29="","",MAX(0,IF(_xlfn.MAXIFS(Log!$A$2:$A$1001,Log!$B$2:$B$1001,A29,Log!$C$2:$C$1001,"Count")&gt;N(S29),_xlfn.MAXIFS(Log!$D$2:$D$1001,Log!$B$2:$B$1001,A29,Log!$C$2:$C$1001,"Count",Log!$A$2:$A$1001,AA29),N(R29))+SUMIFS(Log!$D$2:$D$1001,Log!$B$2:$B$1001,A29,Log!$C$2:$C$1001,"Received",Log!$A$2:$A$1001,"&gt;"&amp;AA29)-SUMIFS(Log!$D$2:$D$1001,Log!$B$2:$B$1001,A29,Log!$C$2:$C$1001,"Used",Log!$A$2:$A$1001,"&gt;"&amp;AA29)+SUMIFS(Log!$D$2:$D$1001,Log!$B$2:$B$1001,A29,Log!$C$2:$C$1001,"Adjustment",Log!$A$2:$A$1001,"&gt;"&amp;AA29)))</f>
        <v/>
      </c>
      <c r="D29" s="32">
        <f>IF(A29="","",IF(X29&lt;&gt;"",X29,W29))</f>
        <v/>
      </c>
      <c r="E29" s="33">
        <f>IF(OR(A29="",N(O29)=0),"",C29/O29)</f>
        <v/>
      </c>
      <c r="F29" s="31">
        <f>IF(A29="","",MAX(0,N(T29)-SUMIFS(Log!$D$2:$D$1001,Log!$B$2:$B$1001,A29,Log!$C$2:$C$1001,"Received",Log!$A$2:$A$1001,"&gt;="&amp;N(U29))))</f>
        <v/>
      </c>
      <c r="G29" s="24" t="n"/>
      <c r="H29" s="24" t="n"/>
      <c r="I29" s="24" t="n"/>
      <c r="J29" s="24" t="n"/>
      <c r="K29" s="24" t="n"/>
      <c r="L29" s="34" t="n"/>
      <c r="M29" s="24" t="n"/>
      <c r="N29" s="24" t="n"/>
      <c r="O29" s="35" t="n"/>
      <c r="P29" s="25" t="n"/>
      <c r="Q29" s="36">
        <f>IF(A29="","",IF(P29&lt;&gt;"",P29,IFERROR(IF(N(INDEX(Suppliers!$E$5:$E$24,MATCH(H29,Suppliers!$B$5:$B$24,0)))&gt;0,INDEX(Suppliers!$E$5:$E$24,MATCH(H29,Suppliers!$B$5:$B$24,0)),5),5)))</f>
        <v/>
      </c>
      <c r="R29" s="35" t="n"/>
      <c r="S29" s="37" t="n"/>
      <c r="T29" s="25" t="n"/>
      <c r="U29" s="37" t="n"/>
      <c r="V29" s="37" t="n"/>
      <c r="W29" s="36">
        <f>IF(A29="","",ROUNDUP(N(O29)*(Q29/7+Settings!$C$5),0))</f>
        <v/>
      </c>
      <c r="X29" s="25" t="n"/>
      <c r="Y29" s="25" t="n"/>
      <c r="Z29" s="32">
        <f>IF(A29="","",IF(Y29&lt;&gt;"",Y29,MAX(1,ROUNDUP(N(O29)*Settings!$C$7,0))))</f>
        <v/>
      </c>
      <c r="AA29" s="38">
        <f>IF(A29="","",MAX(N(S29),_xlfn.MAXIFS(Log!$A$2:$A$1001,Log!$B$2:$B$1001,A29,Log!$C$2:$C$1001,"Count")))</f>
        <v/>
      </c>
      <c r="AB29" s="39">
        <f>IF(A29="","",Z29*N(L29))</f>
        <v/>
      </c>
      <c r="AC29" s="40">
        <f>IF(A29="","",N(O29)*52*N(L29))</f>
        <v/>
      </c>
      <c r="AD29" s="39">
        <f>IF(A29="","",C29*N(L29))</f>
        <v/>
      </c>
      <c r="AE29" s="41">
        <f>IF(A29="",0,IF(AND(OR(B29="Order now",B29="Critical"),F29=0),1,0))</f>
        <v/>
      </c>
      <c r="AF29" s="41">
        <f>IF(AE29=1,IFERROR(MATCH(H29,Suppliers!$B$5:$B$24,0),99)*1000+ROW(),"")</f>
        <v/>
      </c>
      <c r="AG29" s="41">
        <f>IF(AF29="","",COUNTIF('Stock list'!$AF$2:$AF$301,"&lt;"&amp;AF29)+1)</f>
        <v/>
      </c>
      <c r="AH29" s="41">
        <f>IF(A29="",0,IF(OR(AA29=0,AND(B29="OK",OR(C29&lt;=D29+N(O29)*Settings!$C$6,Settings!$C$10-AA29&gt;Settings!$C$8*7))),1,0))</f>
        <v/>
      </c>
      <c r="AI29" s="41">
        <f>IF(AH29=0,"",IF(AA29=0,"Never counted",IF(C29&lt;=D29+N(O29)*Settings!$C$6,"Near the reorder point","Not counted for "&amp;INT((Settings!$C$10-AA29)/7)&amp;" weeks")))</f>
        <v/>
      </c>
      <c r="AJ29" s="41">
        <f>IF(AH29=1,IFERROR(MATCH(M29,Settings!$G$19:$G$38,0),99)*1000+ROW(),"")</f>
        <v/>
      </c>
      <c r="AK29" s="41">
        <f>IF(AJ29="","",COUNTIF('Stock list'!$AJ$2:$AJ$301,"&lt;"&amp;AJ29)+1)</f>
        <v/>
      </c>
      <c r="AL29" s="41">
        <f>IF(OR(A29="",N(AC29)=0),"",AC29+ROW()/1000000)</f>
        <v/>
      </c>
    </row>
    <row r="30">
      <c r="A30" s="24" t="n"/>
      <c r="B30" s="30">
        <f>IF(A30="","",IF(AA30=0,"No count",IF(AND(N(O30)&gt;0,C30/O30*7&lt;Q30),"Critical",IF(F30&gt;0,"On order",IF(AND(D30&gt;0,C30&lt;=D30),"Order now","OK")))))</f>
        <v/>
      </c>
      <c r="C30" s="31">
        <f>IF(A30="","",MAX(0,IF(_xlfn.MAXIFS(Log!$A$2:$A$1001,Log!$B$2:$B$1001,A30,Log!$C$2:$C$1001,"Count")&gt;N(S30),_xlfn.MAXIFS(Log!$D$2:$D$1001,Log!$B$2:$B$1001,A30,Log!$C$2:$C$1001,"Count",Log!$A$2:$A$1001,AA30),N(R30))+SUMIFS(Log!$D$2:$D$1001,Log!$B$2:$B$1001,A30,Log!$C$2:$C$1001,"Received",Log!$A$2:$A$1001,"&gt;"&amp;AA30)-SUMIFS(Log!$D$2:$D$1001,Log!$B$2:$B$1001,A30,Log!$C$2:$C$1001,"Used",Log!$A$2:$A$1001,"&gt;"&amp;AA30)+SUMIFS(Log!$D$2:$D$1001,Log!$B$2:$B$1001,A30,Log!$C$2:$C$1001,"Adjustment",Log!$A$2:$A$1001,"&gt;"&amp;AA30)))</f>
        <v/>
      </c>
      <c r="D30" s="32">
        <f>IF(A30="","",IF(X30&lt;&gt;"",X30,W30))</f>
        <v/>
      </c>
      <c r="E30" s="33">
        <f>IF(OR(A30="",N(O30)=0),"",C30/O30)</f>
        <v/>
      </c>
      <c r="F30" s="31">
        <f>IF(A30="","",MAX(0,N(T30)-SUMIFS(Log!$D$2:$D$1001,Log!$B$2:$B$1001,A30,Log!$C$2:$C$1001,"Received",Log!$A$2:$A$1001,"&gt;="&amp;N(U30))))</f>
        <v/>
      </c>
      <c r="G30" s="24" t="n"/>
      <c r="H30" s="24" t="n"/>
      <c r="I30" s="24" t="n"/>
      <c r="J30" s="24" t="n"/>
      <c r="K30" s="24" t="n"/>
      <c r="L30" s="34" t="n"/>
      <c r="M30" s="24" t="n"/>
      <c r="N30" s="24" t="n"/>
      <c r="O30" s="35" t="n"/>
      <c r="P30" s="25" t="n"/>
      <c r="Q30" s="36">
        <f>IF(A30="","",IF(P30&lt;&gt;"",P30,IFERROR(IF(N(INDEX(Suppliers!$E$5:$E$24,MATCH(H30,Suppliers!$B$5:$B$24,0)))&gt;0,INDEX(Suppliers!$E$5:$E$24,MATCH(H30,Suppliers!$B$5:$B$24,0)),5),5)))</f>
        <v/>
      </c>
      <c r="R30" s="35" t="n"/>
      <c r="S30" s="37" t="n"/>
      <c r="T30" s="25" t="n"/>
      <c r="U30" s="37" t="n"/>
      <c r="V30" s="37" t="n"/>
      <c r="W30" s="36">
        <f>IF(A30="","",ROUNDUP(N(O30)*(Q30/7+Settings!$C$5),0))</f>
        <v/>
      </c>
      <c r="X30" s="25" t="n"/>
      <c r="Y30" s="25" t="n"/>
      <c r="Z30" s="32">
        <f>IF(A30="","",IF(Y30&lt;&gt;"",Y30,MAX(1,ROUNDUP(N(O30)*Settings!$C$7,0))))</f>
        <v/>
      </c>
      <c r="AA30" s="38">
        <f>IF(A30="","",MAX(N(S30),_xlfn.MAXIFS(Log!$A$2:$A$1001,Log!$B$2:$B$1001,A30,Log!$C$2:$C$1001,"Count")))</f>
        <v/>
      </c>
      <c r="AB30" s="39">
        <f>IF(A30="","",Z30*N(L30))</f>
        <v/>
      </c>
      <c r="AC30" s="40">
        <f>IF(A30="","",N(O30)*52*N(L30))</f>
        <v/>
      </c>
      <c r="AD30" s="39">
        <f>IF(A30="","",C30*N(L30))</f>
        <v/>
      </c>
      <c r="AE30" s="41">
        <f>IF(A30="",0,IF(AND(OR(B30="Order now",B30="Critical"),F30=0),1,0))</f>
        <v/>
      </c>
      <c r="AF30" s="41">
        <f>IF(AE30=1,IFERROR(MATCH(H30,Suppliers!$B$5:$B$24,0),99)*1000+ROW(),"")</f>
        <v/>
      </c>
      <c r="AG30" s="41">
        <f>IF(AF30="","",COUNTIF('Stock list'!$AF$2:$AF$301,"&lt;"&amp;AF30)+1)</f>
        <v/>
      </c>
      <c r="AH30" s="41">
        <f>IF(A30="",0,IF(OR(AA30=0,AND(B30="OK",OR(C30&lt;=D30+N(O30)*Settings!$C$6,Settings!$C$10-AA30&gt;Settings!$C$8*7))),1,0))</f>
        <v/>
      </c>
      <c r="AI30" s="41">
        <f>IF(AH30=0,"",IF(AA30=0,"Never counted",IF(C30&lt;=D30+N(O30)*Settings!$C$6,"Near the reorder point","Not counted for "&amp;INT((Settings!$C$10-AA30)/7)&amp;" weeks")))</f>
        <v/>
      </c>
      <c r="AJ30" s="41">
        <f>IF(AH30=1,IFERROR(MATCH(M30,Settings!$G$19:$G$38,0),99)*1000+ROW(),"")</f>
        <v/>
      </c>
      <c r="AK30" s="41">
        <f>IF(AJ30="","",COUNTIF('Stock list'!$AJ$2:$AJ$301,"&lt;"&amp;AJ30)+1)</f>
        <v/>
      </c>
      <c r="AL30" s="41">
        <f>IF(OR(A30="",N(AC30)=0),"",AC30+ROW()/1000000)</f>
        <v/>
      </c>
    </row>
    <row r="31">
      <c r="A31" s="24" t="n"/>
      <c r="B31" s="30">
        <f>IF(A31="","",IF(AA31=0,"No count",IF(AND(N(O31)&gt;0,C31/O31*7&lt;Q31),"Critical",IF(F31&gt;0,"On order",IF(AND(D31&gt;0,C31&lt;=D31),"Order now","OK")))))</f>
        <v/>
      </c>
      <c r="C31" s="31">
        <f>IF(A31="","",MAX(0,IF(_xlfn.MAXIFS(Log!$A$2:$A$1001,Log!$B$2:$B$1001,A31,Log!$C$2:$C$1001,"Count")&gt;N(S31),_xlfn.MAXIFS(Log!$D$2:$D$1001,Log!$B$2:$B$1001,A31,Log!$C$2:$C$1001,"Count",Log!$A$2:$A$1001,AA31),N(R31))+SUMIFS(Log!$D$2:$D$1001,Log!$B$2:$B$1001,A31,Log!$C$2:$C$1001,"Received",Log!$A$2:$A$1001,"&gt;"&amp;AA31)-SUMIFS(Log!$D$2:$D$1001,Log!$B$2:$B$1001,A31,Log!$C$2:$C$1001,"Used",Log!$A$2:$A$1001,"&gt;"&amp;AA31)+SUMIFS(Log!$D$2:$D$1001,Log!$B$2:$B$1001,A31,Log!$C$2:$C$1001,"Adjustment",Log!$A$2:$A$1001,"&gt;"&amp;AA31)))</f>
        <v/>
      </c>
      <c r="D31" s="32">
        <f>IF(A31="","",IF(X31&lt;&gt;"",X31,W31))</f>
        <v/>
      </c>
      <c r="E31" s="33">
        <f>IF(OR(A31="",N(O31)=0),"",C31/O31)</f>
        <v/>
      </c>
      <c r="F31" s="31">
        <f>IF(A31="","",MAX(0,N(T31)-SUMIFS(Log!$D$2:$D$1001,Log!$B$2:$B$1001,A31,Log!$C$2:$C$1001,"Received",Log!$A$2:$A$1001,"&gt;="&amp;N(U31))))</f>
        <v/>
      </c>
      <c r="G31" s="24" t="n"/>
      <c r="H31" s="24" t="n"/>
      <c r="I31" s="24" t="n"/>
      <c r="J31" s="24" t="n"/>
      <c r="K31" s="24" t="n"/>
      <c r="L31" s="34" t="n"/>
      <c r="M31" s="24" t="n"/>
      <c r="N31" s="24" t="n"/>
      <c r="O31" s="35" t="n"/>
      <c r="P31" s="25" t="n"/>
      <c r="Q31" s="36">
        <f>IF(A31="","",IF(P31&lt;&gt;"",P31,IFERROR(IF(N(INDEX(Suppliers!$E$5:$E$24,MATCH(H31,Suppliers!$B$5:$B$24,0)))&gt;0,INDEX(Suppliers!$E$5:$E$24,MATCH(H31,Suppliers!$B$5:$B$24,0)),5),5)))</f>
        <v/>
      </c>
      <c r="R31" s="35" t="n"/>
      <c r="S31" s="37" t="n"/>
      <c r="T31" s="25" t="n"/>
      <c r="U31" s="37" t="n"/>
      <c r="V31" s="37" t="n"/>
      <c r="W31" s="36">
        <f>IF(A31="","",ROUNDUP(N(O31)*(Q31/7+Settings!$C$5),0))</f>
        <v/>
      </c>
      <c r="X31" s="25" t="n"/>
      <c r="Y31" s="25" t="n"/>
      <c r="Z31" s="32">
        <f>IF(A31="","",IF(Y31&lt;&gt;"",Y31,MAX(1,ROUNDUP(N(O31)*Settings!$C$7,0))))</f>
        <v/>
      </c>
      <c r="AA31" s="38">
        <f>IF(A31="","",MAX(N(S31),_xlfn.MAXIFS(Log!$A$2:$A$1001,Log!$B$2:$B$1001,A31,Log!$C$2:$C$1001,"Count")))</f>
        <v/>
      </c>
      <c r="AB31" s="39">
        <f>IF(A31="","",Z31*N(L31))</f>
        <v/>
      </c>
      <c r="AC31" s="40">
        <f>IF(A31="","",N(O31)*52*N(L31))</f>
        <v/>
      </c>
      <c r="AD31" s="39">
        <f>IF(A31="","",C31*N(L31))</f>
        <v/>
      </c>
      <c r="AE31" s="41">
        <f>IF(A31="",0,IF(AND(OR(B31="Order now",B31="Critical"),F31=0),1,0))</f>
        <v/>
      </c>
      <c r="AF31" s="41">
        <f>IF(AE31=1,IFERROR(MATCH(H31,Suppliers!$B$5:$B$24,0),99)*1000+ROW(),"")</f>
        <v/>
      </c>
      <c r="AG31" s="41">
        <f>IF(AF31="","",COUNTIF('Stock list'!$AF$2:$AF$301,"&lt;"&amp;AF31)+1)</f>
        <v/>
      </c>
      <c r="AH31" s="41">
        <f>IF(A31="",0,IF(OR(AA31=0,AND(B31="OK",OR(C31&lt;=D31+N(O31)*Settings!$C$6,Settings!$C$10-AA31&gt;Settings!$C$8*7))),1,0))</f>
        <v/>
      </c>
      <c r="AI31" s="41">
        <f>IF(AH31=0,"",IF(AA31=0,"Never counted",IF(C31&lt;=D31+N(O31)*Settings!$C$6,"Near the reorder point","Not counted for "&amp;INT((Settings!$C$10-AA31)/7)&amp;" weeks")))</f>
        <v/>
      </c>
      <c r="AJ31" s="41">
        <f>IF(AH31=1,IFERROR(MATCH(M31,Settings!$G$19:$G$38,0),99)*1000+ROW(),"")</f>
        <v/>
      </c>
      <c r="AK31" s="41">
        <f>IF(AJ31="","",COUNTIF('Stock list'!$AJ$2:$AJ$301,"&lt;"&amp;AJ31)+1)</f>
        <v/>
      </c>
      <c r="AL31" s="41">
        <f>IF(OR(A31="",N(AC31)=0),"",AC31+ROW()/1000000)</f>
        <v/>
      </c>
    </row>
    <row r="32">
      <c r="A32" s="24" t="n"/>
      <c r="B32" s="30">
        <f>IF(A32="","",IF(AA32=0,"No count",IF(AND(N(O32)&gt;0,C32/O32*7&lt;Q32),"Critical",IF(F32&gt;0,"On order",IF(AND(D32&gt;0,C32&lt;=D32),"Order now","OK")))))</f>
        <v/>
      </c>
      <c r="C32" s="31">
        <f>IF(A32="","",MAX(0,IF(_xlfn.MAXIFS(Log!$A$2:$A$1001,Log!$B$2:$B$1001,A32,Log!$C$2:$C$1001,"Count")&gt;N(S32),_xlfn.MAXIFS(Log!$D$2:$D$1001,Log!$B$2:$B$1001,A32,Log!$C$2:$C$1001,"Count",Log!$A$2:$A$1001,AA32),N(R32))+SUMIFS(Log!$D$2:$D$1001,Log!$B$2:$B$1001,A32,Log!$C$2:$C$1001,"Received",Log!$A$2:$A$1001,"&gt;"&amp;AA32)-SUMIFS(Log!$D$2:$D$1001,Log!$B$2:$B$1001,A32,Log!$C$2:$C$1001,"Used",Log!$A$2:$A$1001,"&gt;"&amp;AA32)+SUMIFS(Log!$D$2:$D$1001,Log!$B$2:$B$1001,A32,Log!$C$2:$C$1001,"Adjustment",Log!$A$2:$A$1001,"&gt;"&amp;AA32)))</f>
        <v/>
      </c>
      <c r="D32" s="32">
        <f>IF(A32="","",IF(X32&lt;&gt;"",X32,W32))</f>
        <v/>
      </c>
      <c r="E32" s="33">
        <f>IF(OR(A32="",N(O32)=0),"",C32/O32)</f>
        <v/>
      </c>
      <c r="F32" s="31">
        <f>IF(A32="","",MAX(0,N(T32)-SUMIFS(Log!$D$2:$D$1001,Log!$B$2:$B$1001,A32,Log!$C$2:$C$1001,"Received",Log!$A$2:$A$1001,"&gt;="&amp;N(U32))))</f>
        <v/>
      </c>
      <c r="G32" s="24" t="n"/>
      <c r="H32" s="24" t="n"/>
      <c r="I32" s="24" t="n"/>
      <c r="J32" s="24" t="n"/>
      <c r="K32" s="24" t="n"/>
      <c r="L32" s="34" t="n"/>
      <c r="M32" s="24" t="n"/>
      <c r="N32" s="24" t="n"/>
      <c r="O32" s="35" t="n"/>
      <c r="P32" s="25" t="n"/>
      <c r="Q32" s="36">
        <f>IF(A32="","",IF(P32&lt;&gt;"",P32,IFERROR(IF(N(INDEX(Suppliers!$E$5:$E$24,MATCH(H32,Suppliers!$B$5:$B$24,0)))&gt;0,INDEX(Suppliers!$E$5:$E$24,MATCH(H32,Suppliers!$B$5:$B$24,0)),5),5)))</f>
        <v/>
      </c>
      <c r="R32" s="35" t="n"/>
      <c r="S32" s="37" t="n"/>
      <c r="T32" s="25" t="n"/>
      <c r="U32" s="37" t="n"/>
      <c r="V32" s="37" t="n"/>
      <c r="W32" s="36">
        <f>IF(A32="","",ROUNDUP(N(O32)*(Q32/7+Settings!$C$5),0))</f>
        <v/>
      </c>
      <c r="X32" s="25" t="n"/>
      <c r="Y32" s="25" t="n"/>
      <c r="Z32" s="32">
        <f>IF(A32="","",IF(Y32&lt;&gt;"",Y32,MAX(1,ROUNDUP(N(O32)*Settings!$C$7,0))))</f>
        <v/>
      </c>
      <c r="AA32" s="38">
        <f>IF(A32="","",MAX(N(S32),_xlfn.MAXIFS(Log!$A$2:$A$1001,Log!$B$2:$B$1001,A32,Log!$C$2:$C$1001,"Count")))</f>
        <v/>
      </c>
      <c r="AB32" s="39">
        <f>IF(A32="","",Z32*N(L32))</f>
        <v/>
      </c>
      <c r="AC32" s="40">
        <f>IF(A32="","",N(O32)*52*N(L32))</f>
        <v/>
      </c>
      <c r="AD32" s="39">
        <f>IF(A32="","",C32*N(L32))</f>
        <v/>
      </c>
      <c r="AE32" s="41">
        <f>IF(A32="",0,IF(AND(OR(B32="Order now",B32="Critical"),F32=0),1,0))</f>
        <v/>
      </c>
      <c r="AF32" s="41">
        <f>IF(AE32=1,IFERROR(MATCH(H32,Suppliers!$B$5:$B$24,0),99)*1000+ROW(),"")</f>
        <v/>
      </c>
      <c r="AG32" s="41">
        <f>IF(AF32="","",COUNTIF('Stock list'!$AF$2:$AF$301,"&lt;"&amp;AF32)+1)</f>
        <v/>
      </c>
      <c r="AH32" s="41">
        <f>IF(A32="",0,IF(OR(AA32=0,AND(B32="OK",OR(C32&lt;=D32+N(O32)*Settings!$C$6,Settings!$C$10-AA32&gt;Settings!$C$8*7))),1,0))</f>
        <v/>
      </c>
      <c r="AI32" s="41">
        <f>IF(AH32=0,"",IF(AA32=0,"Never counted",IF(C32&lt;=D32+N(O32)*Settings!$C$6,"Near the reorder point","Not counted for "&amp;INT((Settings!$C$10-AA32)/7)&amp;" weeks")))</f>
        <v/>
      </c>
      <c r="AJ32" s="41">
        <f>IF(AH32=1,IFERROR(MATCH(M32,Settings!$G$19:$G$38,0),99)*1000+ROW(),"")</f>
        <v/>
      </c>
      <c r="AK32" s="41">
        <f>IF(AJ32="","",COUNTIF('Stock list'!$AJ$2:$AJ$301,"&lt;"&amp;AJ32)+1)</f>
        <v/>
      </c>
      <c r="AL32" s="41">
        <f>IF(OR(A32="",N(AC32)=0),"",AC32+ROW()/1000000)</f>
        <v/>
      </c>
    </row>
    <row r="33">
      <c r="A33" s="24" t="n"/>
      <c r="B33" s="30">
        <f>IF(A33="","",IF(AA33=0,"No count",IF(AND(N(O33)&gt;0,C33/O33*7&lt;Q33),"Critical",IF(F33&gt;0,"On order",IF(AND(D33&gt;0,C33&lt;=D33),"Order now","OK")))))</f>
        <v/>
      </c>
      <c r="C33" s="31">
        <f>IF(A33="","",MAX(0,IF(_xlfn.MAXIFS(Log!$A$2:$A$1001,Log!$B$2:$B$1001,A33,Log!$C$2:$C$1001,"Count")&gt;N(S33),_xlfn.MAXIFS(Log!$D$2:$D$1001,Log!$B$2:$B$1001,A33,Log!$C$2:$C$1001,"Count",Log!$A$2:$A$1001,AA33),N(R33))+SUMIFS(Log!$D$2:$D$1001,Log!$B$2:$B$1001,A33,Log!$C$2:$C$1001,"Received",Log!$A$2:$A$1001,"&gt;"&amp;AA33)-SUMIFS(Log!$D$2:$D$1001,Log!$B$2:$B$1001,A33,Log!$C$2:$C$1001,"Used",Log!$A$2:$A$1001,"&gt;"&amp;AA33)+SUMIFS(Log!$D$2:$D$1001,Log!$B$2:$B$1001,A33,Log!$C$2:$C$1001,"Adjustment",Log!$A$2:$A$1001,"&gt;"&amp;AA33)))</f>
        <v/>
      </c>
      <c r="D33" s="32">
        <f>IF(A33="","",IF(X33&lt;&gt;"",X33,W33))</f>
        <v/>
      </c>
      <c r="E33" s="33">
        <f>IF(OR(A33="",N(O33)=0),"",C33/O33)</f>
        <v/>
      </c>
      <c r="F33" s="31">
        <f>IF(A33="","",MAX(0,N(T33)-SUMIFS(Log!$D$2:$D$1001,Log!$B$2:$B$1001,A33,Log!$C$2:$C$1001,"Received",Log!$A$2:$A$1001,"&gt;="&amp;N(U33))))</f>
        <v/>
      </c>
      <c r="G33" s="24" t="n"/>
      <c r="H33" s="24" t="n"/>
      <c r="I33" s="24" t="n"/>
      <c r="J33" s="24" t="n"/>
      <c r="K33" s="24" t="n"/>
      <c r="L33" s="34" t="n"/>
      <c r="M33" s="24" t="n"/>
      <c r="N33" s="24" t="n"/>
      <c r="O33" s="35" t="n"/>
      <c r="P33" s="25" t="n"/>
      <c r="Q33" s="36">
        <f>IF(A33="","",IF(P33&lt;&gt;"",P33,IFERROR(IF(N(INDEX(Suppliers!$E$5:$E$24,MATCH(H33,Suppliers!$B$5:$B$24,0)))&gt;0,INDEX(Suppliers!$E$5:$E$24,MATCH(H33,Suppliers!$B$5:$B$24,0)),5),5)))</f>
        <v/>
      </c>
      <c r="R33" s="35" t="n"/>
      <c r="S33" s="37" t="n"/>
      <c r="T33" s="25" t="n"/>
      <c r="U33" s="37" t="n"/>
      <c r="V33" s="37" t="n"/>
      <c r="W33" s="36">
        <f>IF(A33="","",ROUNDUP(N(O33)*(Q33/7+Settings!$C$5),0))</f>
        <v/>
      </c>
      <c r="X33" s="25" t="n"/>
      <c r="Y33" s="25" t="n"/>
      <c r="Z33" s="32">
        <f>IF(A33="","",IF(Y33&lt;&gt;"",Y33,MAX(1,ROUNDUP(N(O33)*Settings!$C$7,0))))</f>
        <v/>
      </c>
      <c r="AA33" s="38">
        <f>IF(A33="","",MAX(N(S33),_xlfn.MAXIFS(Log!$A$2:$A$1001,Log!$B$2:$B$1001,A33,Log!$C$2:$C$1001,"Count")))</f>
        <v/>
      </c>
      <c r="AB33" s="39">
        <f>IF(A33="","",Z33*N(L33))</f>
        <v/>
      </c>
      <c r="AC33" s="40">
        <f>IF(A33="","",N(O33)*52*N(L33))</f>
        <v/>
      </c>
      <c r="AD33" s="39">
        <f>IF(A33="","",C33*N(L33))</f>
        <v/>
      </c>
      <c r="AE33" s="41">
        <f>IF(A33="",0,IF(AND(OR(B33="Order now",B33="Critical"),F33=0),1,0))</f>
        <v/>
      </c>
      <c r="AF33" s="41">
        <f>IF(AE33=1,IFERROR(MATCH(H33,Suppliers!$B$5:$B$24,0),99)*1000+ROW(),"")</f>
        <v/>
      </c>
      <c r="AG33" s="41">
        <f>IF(AF33="","",COUNTIF('Stock list'!$AF$2:$AF$301,"&lt;"&amp;AF33)+1)</f>
        <v/>
      </c>
      <c r="AH33" s="41">
        <f>IF(A33="",0,IF(OR(AA33=0,AND(B33="OK",OR(C33&lt;=D33+N(O33)*Settings!$C$6,Settings!$C$10-AA33&gt;Settings!$C$8*7))),1,0))</f>
        <v/>
      </c>
      <c r="AI33" s="41">
        <f>IF(AH33=0,"",IF(AA33=0,"Never counted",IF(C33&lt;=D33+N(O33)*Settings!$C$6,"Near the reorder point","Not counted for "&amp;INT((Settings!$C$10-AA33)/7)&amp;" weeks")))</f>
        <v/>
      </c>
      <c r="AJ33" s="41">
        <f>IF(AH33=1,IFERROR(MATCH(M33,Settings!$G$19:$G$38,0),99)*1000+ROW(),"")</f>
        <v/>
      </c>
      <c r="AK33" s="41">
        <f>IF(AJ33="","",COUNTIF('Stock list'!$AJ$2:$AJ$301,"&lt;"&amp;AJ33)+1)</f>
        <v/>
      </c>
      <c r="AL33" s="41">
        <f>IF(OR(A33="",N(AC33)=0),"",AC33+ROW()/1000000)</f>
        <v/>
      </c>
    </row>
    <row r="34">
      <c r="A34" s="24" t="n"/>
      <c r="B34" s="30">
        <f>IF(A34="","",IF(AA34=0,"No count",IF(AND(N(O34)&gt;0,C34/O34*7&lt;Q34),"Critical",IF(F34&gt;0,"On order",IF(AND(D34&gt;0,C34&lt;=D34),"Order now","OK")))))</f>
        <v/>
      </c>
      <c r="C34" s="31">
        <f>IF(A34="","",MAX(0,IF(_xlfn.MAXIFS(Log!$A$2:$A$1001,Log!$B$2:$B$1001,A34,Log!$C$2:$C$1001,"Count")&gt;N(S34),_xlfn.MAXIFS(Log!$D$2:$D$1001,Log!$B$2:$B$1001,A34,Log!$C$2:$C$1001,"Count",Log!$A$2:$A$1001,AA34),N(R34))+SUMIFS(Log!$D$2:$D$1001,Log!$B$2:$B$1001,A34,Log!$C$2:$C$1001,"Received",Log!$A$2:$A$1001,"&gt;"&amp;AA34)-SUMIFS(Log!$D$2:$D$1001,Log!$B$2:$B$1001,A34,Log!$C$2:$C$1001,"Used",Log!$A$2:$A$1001,"&gt;"&amp;AA34)+SUMIFS(Log!$D$2:$D$1001,Log!$B$2:$B$1001,A34,Log!$C$2:$C$1001,"Adjustment",Log!$A$2:$A$1001,"&gt;"&amp;AA34)))</f>
        <v/>
      </c>
      <c r="D34" s="32">
        <f>IF(A34="","",IF(X34&lt;&gt;"",X34,W34))</f>
        <v/>
      </c>
      <c r="E34" s="33">
        <f>IF(OR(A34="",N(O34)=0),"",C34/O34)</f>
        <v/>
      </c>
      <c r="F34" s="31">
        <f>IF(A34="","",MAX(0,N(T34)-SUMIFS(Log!$D$2:$D$1001,Log!$B$2:$B$1001,A34,Log!$C$2:$C$1001,"Received",Log!$A$2:$A$1001,"&gt;="&amp;N(U34))))</f>
        <v/>
      </c>
      <c r="G34" s="24" t="n"/>
      <c r="H34" s="24" t="n"/>
      <c r="I34" s="24" t="n"/>
      <c r="J34" s="24" t="n"/>
      <c r="K34" s="24" t="n"/>
      <c r="L34" s="34" t="n"/>
      <c r="M34" s="24" t="n"/>
      <c r="N34" s="24" t="n"/>
      <c r="O34" s="35" t="n"/>
      <c r="P34" s="25" t="n"/>
      <c r="Q34" s="36">
        <f>IF(A34="","",IF(P34&lt;&gt;"",P34,IFERROR(IF(N(INDEX(Suppliers!$E$5:$E$24,MATCH(H34,Suppliers!$B$5:$B$24,0)))&gt;0,INDEX(Suppliers!$E$5:$E$24,MATCH(H34,Suppliers!$B$5:$B$24,0)),5),5)))</f>
        <v/>
      </c>
      <c r="R34" s="35" t="n"/>
      <c r="S34" s="37" t="n"/>
      <c r="T34" s="25" t="n"/>
      <c r="U34" s="37" t="n"/>
      <c r="V34" s="37" t="n"/>
      <c r="W34" s="36">
        <f>IF(A34="","",ROUNDUP(N(O34)*(Q34/7+Settings!$C$5),0))</f>
        <v/>
      </c>
      <c r="X34" s="25" t="n"/>
      <c r="Y34" s="25" t="n"/>
      <c r="Z34" s="32">
        <f>IF(A34="","",IF(Y34&lt;&gt;"",Y34,MAX(1,ROUNDUP(N(O34)*Settings!$C$7,0))))</f>
        <v/>
      </c>
      <c r="AA34" s="38">
        <f>IF(A34="","",MAX(N(S34),_xlfn.MAXIFS(Log!$A$2:$A$1001,Log!$B$2:$B$1001,A34,Log!$C$2:$C$1001,"Count")))</f>
        <v/>
      </c>
      <c r="AB34" s="39">
        <f>IF(A34="","",Z34*N(L34))</f>
        <v/>
      </c>
      <c r="AC34" s="40">
        <f>IF(A34="","",N(O34)*52*N(L34))</f>
        <v/>
      </c>
      <c r="AD34" s="39">
        <f>IF(A34="","",C34*N(L34))</f>
        <v/>
      </c>
      <c r="AE34" s="41">
        <f>IF(A34="",0,IF(AND(OR(B34="Order now",B34="Critical"),F34=0),1,0))</f>
        <v/>
      </c>
      <c r="AF34" s="41">
        <f>IF(AE34=1,IFERROR(MATCH(H34,Suppliers!$B$5:$B$24,0),99)*1000+ROW(),"")</f>
        <v/>
      </c>
      <c r="AG34" s="41">
        <f>IF(AF34="","",COUNTIF('Stock list'!$AF$2:$AF$301,"&lt;"&amp;AF34)+1)</f>
        <v/>
      </c>
      <c r="AH34" s="41">
        <f>IF(A34="",0,IF(OR(AA34=0,AND(B34="OK",OR(C34&lt;=D34+N(O34)*Settings!$C$6,Settings!$C$10-AA34&gt;Settings!$C$8*7))),1,0))</f>
        <v/>
      </c>
      <c r="AI34" s="41">
        <f>IF(AH34=0,"",IF(AA34=0,"Never counted",IF(C34&lt;=D34+N(O34)*Settings!$C$6,"Near the reorder point","Not counted for "&amp;INT((Settings!$C$10-AA34)/7)&amp;" weeks")))</f>
        <v/>
      </c>
      <c r="AJ34" s="41">
        <f>IF(AH34=1,IFERROR(MATCH(M34,Settings!$G$19:$G$38,0),99)*1000+ROW(),"")</f>
        <v/>
      </c>
      <c r="AK34" s="41">
        <f>IF(AJ34="","",COUNTIF('Stock list'!$AJ$2:$AJ$301,"&lt;"&amp;AJ34)+1)</f>
        <v/>
      </c>
      <c r="AL34" s="41">
        <f>IF(OR(A34="",N(AC34)=0),"",AC34+ROW()/1000000)</f>
        <v/>
      </c>
    </row>
    <row r="35">
      <c r="A35" s="24" t="n"/>
      <c r="B35" s="30">
        <f>IF(A35="","",IF(AA35=0,"No count",IF(AND(N(O35)&gt;0,C35/O35*7&lt;Q35),"Critical",IF(F35&gt;0,"On order",IF(AND(D35&gt;0,C35&lt;=D35),"Order now","OK")))))</f>
        <v/>
      </c>
      <c r="C35" s="31">
        <f>IF(A35="","",MAX(0,IF(_xlfn.MAXIFS(Log!$A$2:$A$1001,Log!$B$2:$B$1001,A35,Log!$C$2:$C$1001,"Count")&gt;N(S35),_xlfn.MAXIFS(Log!$D$2:$D$1001,Log!$B$2:$B$1001,A35,Log!$C$2:$C$1001,"Count",Log!$A$2:$A$1001,AA35),N(R35))+SUMIFS(Log!$D$2:$D$1001,Log!$B$2:$B$1001,A35,Log!$C$2:$C$1001,"Received",Log!$A$2:$A$1001,"&gt;"&amp;AA35)-SUMIFS(Log!$D$2:$D$1001,Log!$B$2:$B$1001,A35,Log!$C$2:$C$1001,"Used",Log!$A$2:$A$1001,"&gt;"&amp;AA35)+SUMIFS(Log!$D$2:$D$1001,Log!$B$2:$B$1001,A35,Log!$C$2:$C$1001,"Adjustment",Log!$A$2:$A$1001,"&gt;"&amp;AA35)))</f>
        <v/>
      </c>
      <c r="D35" s="32">
        <f>IF(A35="","",IF(X35&lt;&gt;"",X35,W35))</f>
        <v/>
      </c>
      <c r="E35" s="33">
        <f>IF(OR(A35="",N(O35)=0),"",C35/O35)</f>
        <v/>
      </c>
      <c r="F35" s="31">
        <f>IF(A35="","",MAX(0,N(T35)-SUMIFS(Log!$D$2:$D$1001,Log!$B$2:$B$1001,A35,Log!$C$2:$C$1001,"Received",Log!$A$2:$A$1001,"&gt;="&amp;N(U35))))</f>
        <v/>
      </c>
      <c r="G35" s="24" t="n"/>
      <c r="H35" s="24" t="n"/>
      <c r="I35" s="24" t="n"/>
      <c r="J35" s="24" t="n"/>
      <c r="K35" s="24" t="n"/>
      <c r="L35" s="34" t="n"/>
      <c r="M35" s="24" t="n"/>
      <c r="N35" s="24" t="n"/>
      <c r="O35" s="35" t="n"/>
      <c r="P35" s="25" t="n"/>
      <c r="Q35" s="36">
        <f>IF(A35="","",IF(P35&lt;&gt;"",P35,IFERROR(IF(N(INDEX(Suppliers!$E$5:$E$24,MATCH(H35,Suppliers!$B$5:$B$24,0)))&gt;0,INDEX(Suppliers!$E$5:$E$24,MATCH(H35,Suppliers!$B$5:$B$24,0)),5),5)))</f>
        <v/>
      </c>
      <c r="R35" s="35" t="n"/>
      <c r="S35" s="37" t="n"/>
      <c r="T35" s="25" t="n"/>
      <c r="U35" s="37" t="n"/>
      <c r="V35" s="37" t="n"/>
      <c r="W35" s="36">
        <f>IF(A35="","",ROUNDUP(N(O35)*(Q35/7+Settings!$C$5),0))</f>
        <v/>
      </c>
      <c r="X35" s="25" t="n"/>
      <c r="Y35" s="25" t="n"/>
      <c r="Z35" s="32">
        <f>IF(A35="","",IF(Y35&lt;&gt;"",Y35,MAX(1,ROUNDUP(N(O35)*Settings!$C$7,0))))</f>
        <v/>
      </c>
      <c r="AA35" s="38">
        <f>IF(A35="","",MAX(N(S35),_xlfn.MAXIFS(Log!$A$2:$A$1001,Log!$B$2:$B$1001,A35,Log!$C$2:$C$1001,"Count")))</f>
        <v/>
      </c>
      <c r="AB35" s="39">
        <f>IF(A35="","",Z35*N(L35))</f>
        <v/>
      </c>
      <c r="AC35" s="40">
        <f>IF(A35="","",N(O35)*52*N(L35))</f>
        <v/>
      </c>
      <c r="AD35" s="39">
        <f>IF(A35="","",C35*N(L35))</f>
        <v/>
      </c>
      <c r="AE35" s="41">
        <f>IF(A35="",0,IF(AND(OR(B35="Order now",B35="Critical"),F35=0),1,0))</f>
        <v/>
      </c>
      <c r="AF35" s="41">
        <f>IF(AE35=1,IFERROR(MATCH(H35,Suppliers!$B$5:$B$24,0),99)*1000+ROW(),"")</f>
        <v/>
      </c>
      <c r="AG35" s="41">
        <f>IF(AF35="","",COUNTIF('Stock list'!$AF$2:$AF$301,"&lt;"&amp;AF35)+1)</f>
        <v/>
      </c>
      <c r="AH35" s="41">
        <f>IF(A35="",0,IF(OR(AA35=0,AND(B35="OK",OR(C35&lt;=D35+N(O35)*Settings!$C$6,Settings!$C$10-AA35&gt;Settings!$C$8*7))),1,0))</f>
        <v/>
      </c>
      <c r="AI35" s="41">
        <f>IF(AH35=0,"",IF(AA35=0,"Never counted",IF(C35&lt;=D35+N(O35)*Settings!$C$6,"Near the reorder point","Not counted for "&amp;INT((Settings!$C$10-AA35)/7)&amp;" weeks")))</f>
        <v/>
      </c>
      <c r="AJ35" s="41">
        <f>IF(AH35=1,IFERROR(MATCH(M35,Settings!$G$19:$G$38,0),99)*1000+ROW(),"")</f>
        <v/>
      </c>
      <c r="AK35" s="41">
        <f>IF(AJ35="","",COUNTIF('Stock list'!$AJ$2:$AJ$301,"&lt;"&amp;AJ35)+1)</f>
        <v/>
      </c>
      <c r="AL35" s="41">
        <f>IF(OR(A35="",N(AC35)=0),"",AC35+ROW()/1000000)</f>
        <v/>
      </c>
    </row>
    <row r="36">
      <c r="A36" s="24" t="n"/>
      <c r="B36" s="30">
        <f>IF(A36="","",IF(AA36=0,"No count",IF(AND(N(O36)&gt;0,C36/O36*7&lt;Q36),"Critical",IF(F36&gt;0,"On order",IF(AND(D36&gt;0,C36&lt;=D36),"Order now","OK")))))</f>
        <v/>
      </c>
      <c r="C36" s="31">
        <f>IF(A36="","",MAX(0,IF(_xlfn.MAXIFS(Log!$A$2:$A$1001,Log!$B$2:$B$1001,A36,Log!$C$2:$C$1001,"Count")&gt;N(S36),_xlfn.MAXIFS(Log!$D$2:$D$1001,Log!$B$2:$B$1001,A36,Log!$C$2:$C$1001,"Count",Log!$A$2:$A$1001,AA36),N(R36))+SUMIFS(Log!$D$2:$D$1001,Log!$B$2:$B$1001,A36,Log!$C$2:$C$1001,"Received",Log!$A$2:$A$1001,"&gt;"&amp;AA36)-SUMIFS(Log!$D$2:$D$1001,Log!$B$2:$B$1001,A36,Log!$C$2:$C$1001,"Used",Log!$A$2:$A$1001,"&gt;"&amp;AA36)+SUMIFS(Log!$D$2:$D$1001,Log!$B$2:$B$1001,A36,Log!$C$2:$C$1001,"Adjustment",Log!$A$2:$A$1001,"&gt;"&amp;AA36)))</f>
        <v/>
      </c>
      <c r="D36" s="32">
        <f>IF(A36="","",IF(X36&lt;&gt;"",X36,W36))</f>
        <v/>
      </c>
      <c r="E36" s="33">
        <f>IF(OR(A36="",N(O36)=0),"",C36/O36)</f>
        <v/>
      </c>
      <c r="F36" s="31">
        <f>IF(A36="","",MAX(0,N(T36)-SUMIFS(Log!$D$2:$D$1001,Log!$B$2:$B$1001,A36,Log!$C$2:$C$1001,"Received",Log!$A$2:$A$1001,"&gt;="&amp;N(U36))))</f>
        <v/>
      </c>
      <c r="G36" s="24" t="n"/>
      <c r="H36" s="24" t="n"/>
      <c r="I36" s="24" t="n"/>
      <c r="J36" s="24" t="n"/>
      <c r="K36" s="24" t="n"/>
      <c r="L36" s="34" t="n"/>
      <c r="M36" s="24" t="n"/>
      <c r="N36" s="24" t="n"/>
      <c r="O36" s="35" t="n"/>
      <c r="P36" s="25" t="n"/>
      <c r="Q36" s="36">
        <f>IF(A36="","",IF(P36&lt;&gt;"",P36,IFERROR(IF(N(INDEX(Suppliers!$E$5:$E$24,MATCH(H36,Suppliers!$B$5:$B$24,0)))&gt;0,INDEX(Suppliers!$E$5:$E$24,MATCH(H36,Suppliers!$B$5:$B$24,0)),5),5)))</f>
        <v/>
      </c>
      <c r="R36" s="35" t="n"/>
      <c r="S36" s="37" t="n"/>
      <c r="T36" s="25" t="n"/>
      <c r="U36" s="37" t="n"/>
      <c r="V36" s="37" t="n"/>
      <c r="W36" s="36">
        <f>IF(A36="","",ROUNDUP(N(O36)*(Q36/7+Settings!$C$5),0))</f>
        <v/>
      </c>
      <c r="X36" s="25" t="n"/>
      <c r="Y36" s="25" t="n"/>
      <c r="Z36" s="32">
        <f>IF(A36="","",IF(Y36&lt;&gt;"",Y36,MAX(1,ROUNDUP(N(O36)*Settings!$C$7,0))))</f>
        <v/>
      </c>
      <c r="AA36" s="38">
        <f>IF(A36="","",MAX(N(S36),_xlfn.MAXIFS(Log!$A$2:$A$1001,Log!$B$2:$B$1001,A36,Log!$C$2:$C$1001,"Count")))</f>
        <v/>
      </c>
      <c r="AB36" s="39">
        <f>IF(A36="","",Z36*N(L36))</f>
        <v/>
      </c>
      <c r="AC36" s="40">
        <f>IF(A36="","",N(O36)*52*N(L36))</f>
        <v/>
      </c>
      <c r="AD36" s="39">
        <f>IF(A36="","",C36*N(L36))</f>
        <v/>
      </c>
      <c r="AE36" s="41">
        <f>IF(A36="",0,IF(AND(OR(B36="Order now",B36="Critical"),F36=0),1,0))</f>
        <v/>
      </c>
      <c r="AF36" s="41">
        <f>IF(AE36=1,IFERROR(MATCH(H36,Suppliers!$B$5:$B$24,0),99)*1000+ROW(),"")</f>
        <v/>
      </c>
      <c r="AG36" s="41">
        <f>IF(AF36="","",COUNTIF('Stock list'!$AF$2:$AF$301,"&lt;"&amp;AF36)+1)</f>
        <v/>
      </c>
      <c r="AH36" s="41">
        <f>IF(A36="",0,IF(OR(AA36=0,AND(B36="OK",OR(C36&lt;=D36+N(O36)*Settings!$C$6,Settings!$C$10-AA36&gt;Settings!$C$8*7))),1,0))</f>
        <v/>
      </c>
      <c r="AI36" s="41">
        <f>IF(AH36=0,"",IF(AA36=0,"Never counted",IF(C36&lt;=D36+N(O36)*Settings!$C$6,"Near the reorder point","Not counted for "&amp;INT((Settings!$C$10-AA36)/7)&amp;" weeks")))</f>
        <v/>
      </c>
      <c r="AJ36" s="41">
        <f>IF(AH36=1,IFERROR(MATCH(M36,Settings!$G$19:$G$38,0),99)*1000+ROW(),"")</f>
        <v/>
      </c>
      <c r="AK36" s="41">
        <f>IF(AJ36="","",COUNTIF('Stock list'!$AJ$2:$AJ$301,"&lt;"&amp;AJ36)+1)</f>
        <v/>
      </c>
      <c r="AL36" s="41">
        <f>IF(OR(A36="",N(AC36)=0),"",AC36+ROW()/1000000)</f>
        <v/>
      </c>
    </row>
    <row r="37">
      <c r="A37" s="24" t="n"/>
      <c r="B37" s="30">
        <f>IF(A37="","",IF(AA37=0,"No count",IF(AND(N(O37)&gt;0,C37/O37*7&lt;Q37),"Critical",IF(F37&gt;0,"On order",IF(AND(D37&gt;0,C37&lt;=D37),"Order now","OK")))))</f>
        <v/>
      </c>
      <c r="C37" s="31">
        <f>IF(A37="","",MAX(0,IF(_xlfn.MAXIFS(Log!$A$2:$A$1001,Log!$B$2:$B$1001,A37,Log!$C$2:$C$1001,"Count")&gt;N(S37),_xlfn.MAXIFS(Log!$D$2:$D$1001,Log!$B$2:$B$1001,A37,Log!$C$2:$C$1001,"Count",Log!$A$2:$A$1001,AA37),N(R37))+SUMIFS(Log!$D$2:$D$1001,Log!$B$2:$B$1001,A37,Log!$C$2:$C$1001,"Received",Log!$A$2:$A$1001,"&gt;"&amp;AA37)-SUMIFS(Log!$D$2:$D$1001,Log!$B$2:$B$1001,A37,Log!$C$2:$C$1001,"Used",Log!$A$2:$A$1001,"&gt;"&amp;AA37)+SUMIFS(Log!$D$2:$D$1001,Log!$B$2:$B$1001,A37,Log!$C$2:$C$1001,"Adjustment",Log!$A$2:$A$1001,"&gt;"&amp;AA37)))</f>
        <v/>
      </c>
      <c r="D37" s="32">
        <f>IF(A37="","",IF(X37&lt;&gt;"",X37,W37))</f>
        <v/>
      </c>
      <c r="E37" s="33">
        <f>IF(OR(A37="",N(O37)=0),"",C37/O37)</f>
        <v/>
      </c>
      <c r="F37" s="31">
        <f>IF(A37="","",MAX(0,N(T37)-SUMIFS(Log!$D$2:$D$1001,Log!$B$2:$B$1001,A37,Log!$C$2:$C$1001,"Received",Log!$A$2:$A$1001,"&gt;="&amp;N(U37))))</f>
        <v/>
      </c>
      <c r="G37" s="24" t="n"/>
      <c r="H37" s="24" t="n"/>
      <c r="I37" s="24" t="n"/>
      <c r="J37" s="24" t="n"/>
      <c r="K37" s="24" t="n"/>
      <c r="L37" s="34" t="n"/>
      <c r="M37" s="24" t="n"/>
      <c r="N37" s="24" t="n"/>
      <c r="O37" s="35" t="n"/>
      <c r="P37" s="25" t="n"/>
      <c r="Q37" s="36">
        <f>IF(A37="","",IF(P37&lt;&gt;"",P37,IFERROR(IF(N(INDEX(Suppliers!$E$5:$E$24,MATCH(H37,Suppliers!$B$5:$B$24,0)))&gt;0,INDEX(Suppliers!$E$5:$E$24,MATCH(H37,Suppliers!$B$5:$B$24,0)),5),5)))</f>
        <v/>
      </c>
      <c r="R37" s="35" t="n"/>
      <c r="S37" s="37" t="n"/>
      <c r="T37" s="25" t="n"/>
      <c r="U37" s="37" t="n"/>
      <c r="V37" s="37" t="n"/>
      <c r="W37" s="36">
        <f>IF(A37="","",ROUNDUP(N(O37)*(Q37/7+Settings!$C$5),0))</f>
        <v/>
      </c>
      <c r="X37" s="25" t="n"/>
      <c r="Y37" s="25" t="n"/>
      <c r="Z37" s="32">
        <f>IF(A37="","",IF(Y37&lt;&gt;"",Y37,MAX(1,ROUNDUP(N(O37)*Settings!$C$7,0))))</f>
        <v/>
      </c>
      <c r="AA37" s="38">
        <f>IF(A37="","",MAX(N(S37),_xlfn.MAXIFS(Log!$A$2:$A$1001,Log!$B$2:$B$1001,A37,Log!$C$2:$C$1001,"Count")))</f>
        <v/>
      </c>
      <c r="AB37" s="39">
        <f>IF(A37="","",Z37*N(L37))</f>
        <v/>
      </c>
      <c r="AC37" s="40">
        <f>IF(A37="","",N(O37)*52*N(L37))</f>
        <v/>
      </c>
      <c r="AD37" s="39">
        <f>IF(A37="","",C37*N(L37))</f>
        <v/>
      </c>
      <c r="AE37" s="41">
        <f>IF(A37="",0,IF(AND(OR(B37="Order now",B37="Critical"),F37=0),1,0))</f>
        <v/>
      </c>
      <c r="AF37" s="41">
        <f>IF(AE37=1,IFERROR(MATCH(H37,Suppliers!$B$5:$B$24,0),99)*1000+ROW(),"")</f>
        <v/>
      </c>
      <c r="AG37" s="41">
        <f>IF(AF37="","",COUNTIF('Stock list'!$AF$2:$AF$301,"&lt;"&amp;AF37)+1)</f>
        <v/>
      </c>
      <c r="AH37" s="41">
        <f>IF(A37="",0,IF(OR(AA37=0,AND(B37="OK",OR(C37&lt;=D37+N(O37)*Settings!$C$6,Settings!$C$10-AA37&gt;Settings!$C$8*7))),1,0))</f>
        <v/>
      </c>
      <c r="AI37" s="41">
        <f>IF(AH37=0,"",IF(AA37=0,"Never counted",IF(C37&lt;=D37+N(O37)*Settings!$C$6,"Near the reorder point","Not counted for "&amp;INT((Settings!$C$10-AA37)/7)&amp;" weeks")))</f>
        <v/>
      </c>
      <c r="AJ37" s="41">
        <f>IF(AH37=1,IFERROR(MATCH(M37,Settings!$G$19:$G$38,0),99)*1000+ROW(),"")</f>
        <v/>
      </c>
      <c r="AK37" s="41">
        <f>IF(AJ37="","",COUNTIF('Stock list'!$AJ$2:$AJ$301,"&lt;"&amp;AJ37)+1)</f>
        <v/>
      </c>
      <c r="AL37" s="41">
        <f>IF(OR(A37="",N(AC37)=0),"",AC37+ROW()/1000000)</f>
        <v/>
      </c>
    </row>
    <row r="38">
      <c r="A38" s="24" t="n"/>
      <c r="B38" s="30">
        <f>IF(A38="","",IF(AA38=0,"No count",IF(AND(N(O38)&gt;0,C38/O38*7&lt;Q38),"Critical",IF(F38&gt;0,"On order",IF(AND(D38&gt;0,C38&lt;=D38),"Order now","OK")))))</f>
        <v/>
      </c>
      <c r="C38" s="31">
        <f>IF(A38="","",MAX(0,IF(_xlfn.MAXIFS(Log!$A$2:$A$1001,Log!$B$2:$B$1001,A38,Log!$C$2:$C$1001,"Count")&gt;N(S38),_xlfn.MAXIFS(Log!$D$2:$D$1001,Log!$B$2:$B$1001,A38,Log!$C$2:$C$1001,"Count",Log!$A$2:$A$1001,AA38),N(R38))+SUMIFS(Log!$D$2:$D$1001,Log!$B$2:$B$1001,A38,Log!$C$2:$C$1001,"Received",Log!$A$2:$A$1001,"&gt;"&amp;AA38)-SUMIFS(Log!$D$2:$D$1001,Log!$B$2:$B$1001,A38,Log!$C$2:$C$1001,"Used",Log!$A$2:$A$1001,"&gt;"&amp;AA38)+SUMIFS(Log!$D$2:$D$1001,Log!$B$2:$B$1001,A38,Log!$C$2:$C$1001,"Adjustment",Log!$A$2:$A$1001,"&gt;"&amp;AA38)))</f>
        <v/>
      </c>
      <c r="D38" s="32">
        <f>IF(A38="","",IF(X38&lt;&gt;"",X38,W38))</f>
        <v/>
      </c>
      <c r="E38" s="33">
        <f>IF(OR(A38="",N(O38)=0),"",C38/O38)</f>
        <v/>
      </c>
      <c r="F38" s="31">
        <f>IF(A38="","",MAX(0,N(T38)-SUMIFS(Log!$D$2:$D$1001,Log!$B$2:$B$1001,A38,Log!$C$2:$C$1001,"Received",Log!$A$2:$A$1001,"&gt;="&amp;N(U38))))</f>
        <v/>
      </c>
      <c r="G38" s="24" t="n"/>
      <c r="H38" s="24" t="n"/>
      <c r="I38" s="24" t="n"/>
      <c r="J38" s="24" t="n"/>
      <c r="K38" s="24" t="n"/>
      <c r="L38" s="34" t="n"/>
      <c r="M38" s="24" t="n"/>
      <c r="N38" s="24" t="n"/>
      <c r="O38" s="35" t="n"/>
      <c r="P38" s="25" t="n"/>
      <c r="Q38" s="36">
        <f>IF(A38="","",IF(P38&lt;&gt;"",P38,IFERROR(IF(N(INDEX(Suppliers!$E$5:$E$24,MATCH(H38,Suppliers!$B$5:$B$24,0)))&gt;0,INDEX(Suppliers!$E$5:$E$24,MATCH(H38,Suppliers!$B$5:$B$24,0)),5),5)))</f>
        <v/>
      </c>
      <c r="R38" s="35" t="n"/>
      <c r="S38" s="37" t="n"/>
      <c r="T38" s="25" t="n"/>
      <c r="U38" s="37" t="n"/>
      <c r="V38" s="37" t="n"/>
      <c r="W38" s="36">
        <f>IF(A38="","",ROUNDUP(N(O38)*(Q38/7+Settings!$C$5),0))</f>
        <v/>
      </c>
      <c r="X38" s="25" t="n"/>
      <c r="Y38" s="25" t="n"/>
      <c r="Z38" s="32">
        <f>IF(A38="","",IF(Y38&lt;&gt;"",Y38,MAX(1,ROUNDUP(N(O38)*Settings!$C$7,0))))</f>
        <v/>
      </c>
      <c r="AA38" s="38">
        <f>IF(A38="","",MAX(N(S38),_xlfn.MAXIFS(Log!$A$2:$A$1001,Log!$B$2:$B$1001,A38,Log!$C$2:$C$1001,"Count")))</f>
        <v/>
      </c>
      <c r="AB38" s="39">
        <f>IF(A38="","",Z38*N(L38))</f>
        <v/>
      </c>
      <c r="AC38" s="40">
        <f>IF(A38="","",N(O38)*52*N(L38))</f>
        <v/>
      </c>
      <c r="AD38" s="39">
        <f>IF(A38="","",C38*N(L38))</f>
        <v/>
      </c>
      <c r="AE38" s="41">
        <f>IF(A38="",0,IF(AND(OR(B38="Order now",B38="Critical"),F38=0),1,0))</f>
        <v/>
      </c>
      <c r="AF38" s="41">
        <f>IF(AE38=1,IFERROR(MATCH(H38,Suppliers!$B$5:$B$24,0),99)*1000+ROW(),"")</f>
        <v/>
      </c>
      <c r="AG38" s="41">
        <f>IF(AF38="","",COUNTIF('Stock list'!$AF$2:$AF$301,"&lt;"&amp;AF38)+1)</f>
        <v/>
      </c>
      <c r="AH38" s="41">
        <f>IF(A38="",0,IF(OR(AA38=0,AND(B38="OK",OR(C38&lt;=D38+N(O38)*Settings!$C$6,Settings!$C$10-AA38&gt;Settings!$C$8*7))),1,0))</f>
        <v/>
      </c>
      <c r="AI38" s="41">
        <f>IF(AH38=0,"",IF(AA38=0,"Never counted",IF(C38&lt;=D38+N(O38)*Settings!$C$6,"Near the reorder point","Not counted for "&amp;INT((Settings!$C$10-AA38)/7)&amp;" weeks")))</f>
        <v/>
      </c>
      <c r="AJ38" s="41">
        <f>IF(AH38=1,IFERROR(MATCH(M38,Settings!$G$19:$G$38,0),99)*1000+ROW(),"")</f>
        <v/>
      </c>
      <c r="AK38" s="41">
        <f>IF(AJ38="","",COUNTIF('Stock list'!$AJ$2:$AJ$301,"&lt;"&amp;AJ38)+1)</f>
        <v/>
      </c>
      <c r="AL38" s="41">
        <f>IF(OR(A38="",N(AC38)=0),"",AC38+ROW()/1000000)</f>
        <v/>
      </c>
    </row>
    <row r="39">
      <c r="A39" s="24" t="n"/>
      <c r="B39" s="30">
        <f>IF(A39="","",IF(AA39=0,"No count",IF(AND(N(O39)&gt;0,C39/O39*7&lt;Q39),"Critical",IF(F39&gt;0,"On order",IF(AND(D39&gt;0,C39&lt;=D39),"Order now","OK")))))</f>
        <v/>
      </c>
      <c r="C39" s="31">
        <f>IF(A39="","",MAX(0,IF(_xlfn.MAXIFS(Log!$A$2:$A$1001,Log!$B$2:$B$1001,A39,Log!$C$2:$C$1001,"Count")&gt;N(S39),_xlfn.MAXIFS(Log!$D$2:$D$1001,Log!$B$2:$B$1001,A39,Log!$C$2:$C$1001,"Count",Log!$A$2:$A$1001,AA39),N(R39))+SUMIFS(Log!$D$2:$D$1001,Log!$B$2:$B$1001,A39,Log!$C$2:$C$1001,"Received",Log!$A$2:$A$1001,"&gt;"&amp;AA39)-SUMIFS(Log!$D$2:$D$1001,Log!$B$2:$B$1001,A39,Log!$C$2:$C$1001,"Used",Log!$A$2:$A$1001,"&gt;"&amp;AA39)+SUMIFS(Log!$D$2:$D$1001,Log!$B$2:$B$1001,A39,Log!$C$2:$C$1001,"Adjustment",Log!$A$2:$A$1001,"&gt;"&amp;AA39)))</f>
        <v/>
      </c>
      <c r="D39" s="32">
        <f>IF(A39="","",IF(X39&lt;&gt;"",X39,W39))</f>
        <v/>
      </c>
      <c r="E39" s="33">
        <f>IF(OR(A39="",N(O39)=0),"",C39/O39)</f>
        <v/>
      </c>
      <c r="F39" s="31">
        <f>IF(A39="","",MAX(0,N(T39)-SUMIFS(Log!$D$2:$D$1001,Log!$B$2:$B$1001,A39,Log!$C$2:$C$1001,"Received",Log!$A$2:$A$1001,"&gt;="&amp;N(U39))))</f>
        <v/>
      </c>
      <c r="G39" s="24" t="n"/>
      <c r="H39" s="24" t="n"/>
      <c r="I39" s="24" t="n"/>
      <c r="J39" s="24" t="n"/>
      <c r="K39" s="24" t="n"/>
      <c r="L39" s="34" t="n"/>
      <c r="M39" s="24" t="n"/>
      <c r="N39" s="24" t="n"/>
      <c r="O39" s="35" t="n"/>
      <c r="P39" s="25" t="n"/>
      <c r="Q39" s="36">
        <f>IF(A39="","",IF(P39&lt;&gt;"",P39,IFERROR(IF(N(INDEX(Suppliers!$E$5:$E$24,MATCH(H39,Suppliers!$B$5:$B$24,0)))&gt;0,INDEX(Suppliers!$E$5:$E$24,MATCH(H39,Suppliers!$B$5:$B$24,0)),5),5)))</f>
        <v/>
      </c>
      <c r="R39" s="35" t="n"/>
      <c r="S39" s="37" t="n"/>
      <c r="T39" s="25" t="n"/>
      <c r="U39" s="37" t="n"/>
      <c r="V39" s="37" t="n"/>
      <c r="W39" s="36">
        <f>IF(A39="","",ROUNDUP(N(O39)*(Q39/7+Settings!$C$5),0))</f>
        <v/>
      </c>
      <c r="X39" s="25" t="n"/>
      <c r="Y39" s="25" t="n"/>
      <c r="Z39" s="32">
        <f>IF(A39="","",IF(Y39&lt;&gt;"",Y39,MAX(1,ROUNDUP(N(O39)*Settings!$C$7,0))))</f>
        <v/>
      </c>
      <c r="AA39" s="38">
        <f>IF(A39="","",MAX(N(S39),_xlfn.MAXIFS(Log!$A$2:$A$1001,Log!$B$2:$B$1001,A39,Log!$C$2:$C$1001,"Count")))</f>
        <v/>
      </c>
      <c r="AB39" s="39">
        <f>IF(A39="","",Z39*N(L39))</f>
        <v/>
      </c>
      <c r="AC39" s="40">
        <f>IF(A39="","",N(O39)*52*N(L39))</f>
        <v/>
      </c>
      <c r="AD39" s="39">
        <f>IF(A39="","",C39*N(L39))</f>
        <v/>
      </c>
      <c r="AE39" s="41">
        <f>IF(A39="",0,IF(AND(OR(B39="Order now",B39="Critical"),F39=0),1,0))</f>
        <v/>
      </c>
      <c r="AF39" s="41">
        <f>IF(AE39=1,IFERROR(MATCH(H39,Suppliers!$B$5:$B$24,0),99)*1000+ROW(),"")</f>
        <v/>
      </c>
      <c r="AG39" s="41">
        <f>IF(AF39="","",COUNTIF('Stock list'!$AF$2:$AF$301,"&lt;"&amp;AF39)+1)</f>
        <v/>
      </c>
      <c r="AH39" s="41">
        <f>IF(A39="",0,IF(OR(AA39=0,AND(B39="OK",OR(C39&lt;=D39+N(O39)*Settings!$C$6,Settings!$C$10-AA39&gt;Settings!$C$8*7))),1,0))</f>
        <v/>
      </c>
      <c r="AI39" s="41">
        <f>IF(AH39=0,"",IF(AA39=0,"Never counted",IF(C39&lt;=D39+N(O39)*Settings!$C$6,"Near the reorder point","Not counted for "&amp;INT((Settings!$C$10-AA39)/7)&amp;" weeks")))</f>
        <v/>
      </c>
      <c r="AJ39" s="41">
        <f>IF(AH39=1,IFERROR(MATCH(M39,Settings!$G$19:$G$38,0),99)*1000+ROW(),"")</f>
        <v/>
      </c>
      <c r="AK39" s="41">
        <f>IF(AJ39="","",COUNTIF('Stock list'!$AJ$2:$AJ$301,"&lt;"&amp;AJ39)+1)</f>
        <v/>
      </c>
      <c r="AL39" s="41">
        <f>IF(OR(A39="",N(AC39)=0),"",AC39+ROW()/1000000)</f>
        <v/>
      </c>
    </row>
    <row r="40">
      <c r="A40" s="24" t="n"/>
      <c r="B40" s="30">
        <f>IF(A40="","",IF(AA40=0,"No count",IF(AND(N(O40)&gt;0,C40/O40*7&lt;Q40),"Critical",IF(F40&gt;0,"On order",IF(AND(D40&gt;0,C40&lt;=D40),"Order now","OK")))))</f>
        <v/>
      </c>
      <c r="C40" s="31">
        <f>IF(A40="","",MAX(0,IF(_xlfn.MAXIFS(Log!$A$2:$A$1001,Log!$B$2:$B$1001,A40,Log!$C$2:$C$1001,"Count")&gt;N(S40),_xlfn.MAXIFS(Log!$D$2:$D$1001,Log!$B$2:$B$1001,A40,Log!$C$2:$C$1001,"Count",Log!$A$2:$A$1001,AA40),N(R40))+SUMIFS(Log!$D$2:$D$1001,Log!$B$2:$B$1001,A40,Log!$C$2:$C$1001,"Received",Log!$A$2:$A$1001,"&gt;"&amp;AA40)-SUMIFS(Log!$D$2:$D$1001,Log!$B$2:$B$1001,A40,Log!$C$2:$C$1001,"Used",Log!$A$2:$A$1001,"&gt;"&amp;AA40)+SUMIFS(Log!$D$2:$D$1001,Log!$B$2:$B$1001,A40,Log!$C$2:$C$1001,"Adjustment",Log!$A$2:$A$1001,"&gt;"&amp;AA40)))</f>
        <v/>
      </c>
      <c r="D40" s="32">
        <f>IF(A40="","",IF(X40&lt;&gt;"",X40,W40))</f>
        <v/>
      </c>
      <c r="E40" s="33">
        <f>IF(OR(A40="",N(O40)=0),"",C40/O40)</f>
        <v/>
      </c>
      <c r="F40" s="31">
        <f>IF(A40="","",MAX(0,N(T40)-SUMIFS(Log!$D$2:$D$1001,Log!$B$2:$B$1001,A40,Log!$C$2:$C$1001,"Received",Log!$A$2:$A$1001,"&gt;="&amp;N(U40))))</f>
        <v/>
      </c>
      <c r="G40" s="24" t="n"/>
      <c r="H40" s="24" t="n"/>
      <c r="I40" s="24" t="n"/>
      <c r="J40" s="24" t="n"/>
      <c r="K40" s="24" t="n"/>
      <c r="L40" s="34" t="n"/>
      <c r="M40" s="24" t="n"/>
      <c r="N40" s="24" t="n"/>
      <c r="O40" s="35" t="n"/>
      <c r="P40" s="25" t="n"/>
      <c r="Q40" s="36">
        <f>IF(A40="","",IF(P40&lt;&gt;"",P40,IFERROR(IF(N(INDEX(Suppliers!$E$5:$E$24,MATCH(H40,Suppliers!$B$5:$B$24,0)))&gt;0,INDEX(Suppliers!$E$5:$E$24,MATCH(H40,Suppliers!$B$5:$B$24,0)),5),5)))</f>
        <v/>
      </c>
      <c r="R40" s="35" t="n"/>
      <c r="S40" s="37" t="n"/>
      <c r="T40" s="25" t="n"/>
      <c r="U40" s="37" t="n"/>
      <c r="V40" s="37" t="n"/>
      <c r="W40" s="36">
        <f>IF(A40="","",ROUNDUP(N(O40)*(Q40/7+Settings!$C$5),0))</f>
        <v/>
      </c>
      <c r="X40" s="25" t="n"/>
      <c r="Y40" s="25" t="n"/>
      <c r="Z40" s="32">
        <f>IF(A40="","",IF(Y40&lt;&gt;"",Y40,MAX(1,ROUNDUP(N(O40)*Settings!$C$7,0))))</f>
        <v/>
      </c>
      <c r="AA40" s="38">
        <f>IF(A40="","",MAX(N(S40),_xlfn.MAXIFS(Log!$A$2:$A$1001,Log!$B$2:$B$1001,A40,Log!$C$2:$C$1001,"Count")))</f>
        <v/>
      </c>
      <c r="AB40" s="39">
        <f>IF(A40="","",Z40*N(L40))</f>
        <v/>
      </c>
      <c r="AC40" s="40">
        <f>IF(A40="","",N(O40)*52*N(L40))</f>
        <v/>
      </c>
      <c r="AD40" s="39">
        <f>IF(A40="","",C40*N(L40))</f>
        <v/>
      </c>
      <c r="AE40" s="41">
        <f>IF(A40="",0,IF(AND(OR(B40="Order now",B40="Critical"),F40=0),1,0))</f>
        <v/>
      </c>
      <c r="AF40" s="41">
        <f>IF(AE40=1,IFERROR(MATCH(H40,Suppliers!$B$5:$B$24,0),99)*1000+ROW(),"")</f>
        <v/>
      </c>
      <c r="AG40" s="41">
        <f>IF(AF40="","",COUNTIF('Stock list'!$AF$2:$AF$301,"&lt;"&amp;AF40)+1)</f>
        <v/>
      </c>
      <c r="AH40" s="41">
        <f>IF(A40="",0,IF(OR(AA40=0,AND(B40="OK",OR(C40&lt;=D40+N(O40)*Settings!$C$6,Settings!$C$10-AA40&gt;Settings!$C$8*7))),1,0))</f>
        <v/>
      </c>
      <c r="AI40" s="41">
        <f>IF(AH40=0,"",IF(AA40=0,"Never counted",IF(C40&lt;=D40+N(O40)*Settings!$C$6,"Near the reorder point","Not counted for "&amp;INT((Settings!$C$10-AA40)/7)&amp;" weeks")))</f>
        <v/>
      </c>
      <c r="AJ40" s="41">
        <f>IF(AH40=1,IFERROR(MATCH(M40,Settings!$G$19:$G$38,0),99)*1000+ROW(),"")</f>
        <v/>
      </c>
      <c r="AK40" s="41">
        <f>IF(AJ40="","",COUNTIF('Stock list'!$AJ$2:$AJ$301,"&lt;"&amp;AJ40)+1)</f>
        <v/>
      </c>
      <c r="AL40" s="41">
        <f>IF(OR(A40="",N(AC40)=0),"",AC40+ROW()/1000000)</f>
        <v/>
      </c>
    </row>
    <row r="41">
      <c r="A41" s="24" t="n"/>
      <c r="B41" s="30">
        <f>IF(A41="","",IF(AA41=0,"No count",IF(AND(N(O41)&gt;0,C41/O41*7&lt;Q41),"Critical",IF(F41&gt;0,"On order",IF(AND(D41&gt;0,C41&lt;=D41),"Order now","OK")))))</f>
        <v/>
      </c>
      <c r="C41" s="31">
        <f>IF(A41="","",MAX(0,IF(_xlfn.MAXIFS(Log!$A$2:$A$1001,Log!$B$2:$B$1001,A41,Log!$C$2:$C$1001,"Count")&gt;N(S41),_xlfn.MAXIFS(Log!$D$2:$D$1001,Log!$B$2:$B$1001,A41,Log!$C$2:$C$1001,"Count",Log!$A$2:$A$1001,AA41),N(R41))+SUMIFS(Log!$D$2:$D$1001,Log!$B$2:$B$1001,A41,Log!$C$2:$C$1001,"Received",Log!$A$2:$A$1001,"&gt;"&amp;AA41)-SUMIFS(Log!$D$2:$D$1001,Log!$B$2:$B$1001,A41,Log!$C$2:$C$1001,"Used",Log!$A$2:$A$1001,"&gt;"&amp;AA41)+SUMIFS(Log!$D$2:$D$1001,Log!$B$2:$B$1001,A41,Log!$C$2:$C$1001,"Adjustment",Log!$A$2:$A$1001,"&gt;"&amp;AA41)))</f>
        <v/>
      </c>
      <c r="D41" s="32">
        <f>IF(A41="","",IF(X41&lt;&gt;"",X41,W41))</f>
        <v/>
      </c>
      <c r="E41" s="33">
        <f>IF(OR(A41="",N(O41)=0),"",C41/O41)</f>
        <v/>
      </c>
      <c r="F41" s="31">
        <f>IF(A41="","",MAX(0,N(T41)-SUMIFS(Log!$D$2:$D$1001,Log!$B$2:$B$1001,A41,Log!$C$2:$C$1001,"Received",Log!$A$2:$A$1001,"&gt;="&amp;N(U41))))</f>
        <v/>
      </c>
      <c r="G41" s="24" t="n"/>
      <c r="H41" s="24" t="n"/>
      <c r="I41" s="24" t="n"/>
      <c r="J41" s="24" t="n"/>
      <c r="K41" s="24" t="n"/>
      <c r="L41" s="34" t="n"/>
      <c r="M41" s="24" t="n"/>
      <c r="N41" s="24" t="n"/>
      <c r="O41" s="35" t="n"/>
      <c r="P41" s="25" t="n"/>
      <c r="Q41" s="36">
        <f>IF(A41="","",IF(P41&lt;&gt;"",P41,IFERROR(IF(N(INDEX(Suppliers!$E$5:$E$24,MATCH(H41,Suppliers!$B$5:$B$24,0)))&gt;0,INDEX(Suppliers!$E$5:$E$24,MATCH(H41,Suppliers!$B$5:$B$24,0)),5),5)))</f>
        <v/>
      </c>
      <c r="R41" s="35" t="n"/>
      <c r="S41" s="37" t="n"/>
      <c r="T41" s="25" t="n"/>
      <c r="U41" s="37" t="n"/>
      <c r="V41" s="37" t="n"/>
      <c r="W41" s="36">
        <f>IF(A41="","",ROUNDUP(N(O41)*(Q41/7+Settings!$C$5),0))</f>
        <v/>
      </c>
      <c r="X41" s="25" t="n"/>
      <c r="Y41" s="25" t="n"/>
      <c r="Z41" s="32">
        <f>IF(A41="","",IF(Y41&lt;&gt;"",Y41,MAX(1,ROUNDUP(N(O41)*Settings!$C$7,0))))</f>
        <v/>
      </c>
      <c r="AA41" s="38">
        <f>IF(A41="","",MAX(N(S41),_xlfn.MAXIFS(Log!$A$2:$A$1001,Log!$B$2:$B$1001,A41,Log!$C$2:$C$1001,"Count")))</f>
        <v/>
      </c>
      <c r="AB41" s="39">
        <f>IF(A41="","",Z41*N(L41))</f>
        <v/>
      </c>
      <c r="AC41" s="40">
        <f>IF(A41="","",N(O41)*52*N(L41))</f>
        <v/>
      </c>
      <c r="AD41" s="39">
        <f>IF(A41="","",C41*N(L41))</f>
        <v/>
      </c>
      <c r="AE41" s="41">
        <f>IF(A41="",0,IF(AND(OR(B41="Order now",B41="Critical"),F41=0),1,0))</f>
        <v/>
      </c>
      <c r="AF41" s="41">
        <f>IF(AE41=1,IFERROR(MATCH(H41,Suppliers!$B$5:$B$24,0),99)*1000+ROW(),"")</f>
        <v/>
      </c>
      <c r="AG41" s="41">
        <f>IF(AF41="","",COUNTIF('Stock list'!$AF$2:$AF$301,"&lt;"&amp;AF41)+1)</f>
        <v/>
      </c>
      <c r="AH41" s="41">
        <f>IF(A41="",0,IF(OR(AA41=0,AND(B41="OK",OR(C41&lt;=D41+N(O41)*Settings!$C$6,Settings!$C$10-AA41&gt;Settings!$C$8*7))),1,0))</f>
        <v/>
      </c>
      <c r="AI41" s="41">
        <f>IF(AH41=0,"",IF(AA41=0,"Never counted",IF(C41&lt;=D41+N(O41)*Settings!$C$6,"Near the reorder point","Not counted for "&amp;INT((Settings!$C$10-AA41)/7)&amp;" weeks")))</f>
        <v/>
      </c>
      <c r="AJ41" s="41">
        <f>IF(AH41=1,IFERROR(MATCH(M41,Settings!$G$19:$G$38,0),99)*1000+ROW(),"")</f>
        <v/>
      </c>
      <c r="AK41" s="41">
        <f>IF(AJ41="","",COUNTIF('Stock list'!$AJ$2:$AJ$301,"&lt;"&amp;AJ41)+1)</f>
        <v/>
      </c>
      <c r="AL41" s="41">
        <f>IF(OR(A41="",N(AC41)=0),"",AC41+ROW()/1000000)</f>
        <v/>
      </c>
    </row>
    <row r="42">
      <c r="A42" s="24" t="n"/>
      <c r="B42" s="30">
        <f>IF(A42="","",IF(AA42=0,"No count",IF(AND(N(O42)&gt;0,C42/O42*7&lt;Q42),"Critical",IF(F42&gt;0,"On order",IF(AND(D42&gt;0,C42&lt;=D42),"Order now","OK")))))</f>
        <v/>
      </c>
      <c r="C42" s="31">
        <f>IF(A42="","",MAX(0,IF(_xlfn.MAXIFS(Log!$A$2:$A$1001,Log!$B$2:$B$1001,A42,Log!$C$2:$C$1001,"Count")&gt;N(S42),_xlfn.MAXIFS(Log!$D$2:$D$1001,Log!$B$2:$B$1001,A42,Log!$C$2:$C$1001,"Count",Log!$A$2:$A$1001,AA42),N(R42))+SUMIFS(Log!$D$2:$D$1001,Log!$B$2:$B$1001,A42,Log!$C$2:$C$1001,"Received",Log!$A$2:$A$1001,"&gt;"&amp;AA42)-SUMIFS(Log!$D$2:$D$1001,Log!$B$2:$B$1001,A42,Log!$C$2:$C$1001,"Used",Log!$A$2:$A$1001,"&gt;"&amp;AA42)+SUMIFS(Log!$D$2:$D$1001,Log!$B$2:$B$1001,A42,Log!$C$2:$C$1001,"Adjustment",Log!$A$2:$A$1001,"&gt;"&amp;AA42)))</f>
        <v/>
      </c>
      <c r="D42" s="32">
        <f>IF(A42="","",IF(X42&lt;&gt;"",X42,W42))</f>
        <v/>
      </c>
      <c r="E42" s="33">
        <f>IF(OR(A42="",N(O42)=0),"",C42/O42)</f>
        <v/>
      </c>
      <c r="F42" s="31">
        <f>IF(A42="","",MAX(0,N(T42)-SUMIFS(Log!$D$2:$D$1001,Log!$B$2:$B$1001,A42,Log!$C$2:$C$1001,"Received",Log!$A$2:$A$1001,"&gt;="&amp;N(U42))))</f>
        <v/>
      </c>
      <c r="G42" s="24" t="n"/>
      <c r="H42" s="24" t="n"/>
      <c r="I42" s="24" t="n"/>
      <c r="J42" s="24" t="n"/>
      <c r="K42" s="24" t="n"/>
      <c r="L42" s="34" t="n"/>
      <c r="M42" s="24" t="n"/>
      <c r="N42" s="24" t="n"/>
      <c r="O42" s="35" t="n"/>
      <c r="P42" s="25" t="n"/>
      <c r="Q42" s="36">
        <f>IF(A42="","",IF(P42&lt;&gt;"",P42,IFERROR(IF(N(INDEX(Suppliers!$E$5:$E$24,MATCH(H42,Suppliers!$B$5:$B$24,0)))&gt;0,INDEX(Suppliers!$E$5:$E$24,MATCH(H42,Suppliers!$B$5:$B$24,0)),5),5)))</f>
        <v/>
      </c>
      <c r="R42" s="35" t="n"/>
      <c r="S42" s="37" t="n"/>
      <c r="T42" s="25" t="n"/>
      <c r="U42" s="37" t="n"/>
      <c r="V42" s="37" t="n"/>
      <c r="W42" s="36">
        <f>IF(A42="","",ROUNDUP(N(O42)*(Q42/7+Settings!$C$5),0))</f>
        <v/>
      </c>
      <c r="X42" s="25" t="n"/>
      <c r="Y42" s="25" t="n"/>
      <c r="Z42" s="32">
        <f>IF(A42="","",IF(Y42&lt;&gt;"",Y42,MAX(1,ROUNDUP(N(O42)*Settings!$C$7,0))))</f>
        <v/>
      </c>
      <c r="AA42" s="38">
        <f>IF(A42="","",MAX(N(S42),_xlfn.MAXIFS(Log!$A$2:$A$1001,Log!$B$2:$B$1001,A42,Log!$C$2:$C$1001,"Count")))</f>
        <v/>
      </c>
      <c r="AB42" s="39">
        <f>IF(A42="","",Z42*N(L42))</f>
        <v/>
      </c>
      <c r="AC42" s="40">
        <f>IF(A42="","",N(O42)*52*N(L42))</f>
        <v/>
      </c>
      <c r="AD42" s="39">
        <f>IF(A42="","",C42*N(L42))</f>
        <v/>
      </c>
      <c r="AE42" s="41">
        <f>IF(A42="",0,IF(AND(OR(B42="Order now",B42="Critical"),F42=0),1,0))</f>
        <v/>
      </c>
      <c r="AF42" s="41">
        <f>IF(AE42=1,IFERROR(MATCH(H42,Suppliers!$B$5:$B$24,0),99)*1000+ROW(),"")</f>
        <v/>
      </c>
      <c r="AG42" s="41">
        <f>IF(AF42="","",COUNTIF('Stock list'!$AF$2:$AF$301,"&lt;"&amp;AF42)+1)</f>
        <v/>
      </c>
      <c r="AH42" s="41">
        <f>IF(A42="",0,IF(OR(AA42=0,AND(B42="OK",OR(C42&lt;=D42+N(O42)*Settings!$C$6,Settings!$C$10-AA42&gt;Settings!$C$8*7))),1,0))</f>
        <v/>
      </c>
      <c r="AI42" s="41">
        <f>IF(AH42=0,"",IF(AA42=0,"Never counted",IF(C42&lt;=D42+N(O42)*Settings!$C$6,"Near the reorder point","Not counted for "&amp;INT((Settings!$C$10-AA42)/7)&amp;" weeks")))</f>
        <v/>
      </c>
      <c r="AJ42" s="41">
        <f>IF(AH42=1,IFERROR(MATCH(M42,Settings!$G$19:$G$38,0),99)*1000+ROW(),"")</f>
        <v/>
      </c>
      <c r="AK42" s="41">
        <f>IF(AJ42="","",COUNTIF('Stock list'!$AJ$2:$AJ$301,"&lt;"&amp;AJ42)+1)</f>
        <v/>
      </c>
      <c r="AL42" s="41">
        <f>IF(OR(A42="",N(AC42)=0),"",AC42+ROW()/1000000)</f>
        <v/>
      </c>
    </row>
    <row r="43">
      <c r="A43" s="24" t="n"/>
      <c r="B43" s="30">
        <f>IF(A43="","",IF(AA43=0,"No count",IF(AND(N(O43)&gt;0,C43/O43*7&lt;Q43),"Critical",IF(F43&gt;0,"On order",IF(AND(D43&gt;0,C43&lt;=D43),"Order now","OK")))))</f>
        <v/>
      </c>
      <c r="C43" s="31">
        <f>IF(A43="","",MAX(0,IF(_xlfn.MAXIFS(Log!$A$2:$A$1001,Log!$B$2:$B$1001,A43,Log!$C$2:$C$1001,"Count")&gt;N(S43),_xlfn.MAXIFS(Log!$D$2:$D$1001,Log!$B$2:$B$1001,A43,Log!$C$2:$C$1001,"Count",Log!$A$2:$A$1001,AA43),N(R43))+SUMIFS(Log!$D$2:$D$1001,Log!$B$2:$B$1001,A43,Log!$C$2:$C$1001,"Received",Log!$A$2:$A$1001,"&gt;"&amp;AA43)-SUMIFS(Log!$D$2:$D$1001,Log!$B$2:$B$1001,A43,Log!$C$2:$C$1001,"Used",Log!$A$2:$A$1001,"&gt;"&amp;AA43)+SUMIFS(Log!$D$2:$D$1001,Log!$B$2:$B$1001,A43,Log!$C$2:$C$1001,"Adjustment",Log!$A$2:$A$1001,"&gt;"&amp;AA43)))</f>
        <v/>
      </c>
      <c r="D43" s="32">
        <f>IF(A43="","",IF(X43&lt;&gt;"",X43,W43))</f>
        <v/>
      </c>
      <c r="E43" s="33">
        <f>IF(OR(A43="",N(O43)=0),"",C43/O43)</f>
        <v/>
      </c>
      <c r="F43" s="31">
        <f>IF(A43="","",MAX(0,N(T43)-SUMIFS(Log!$D$2:$D$1001,Log!$B$2:$B$1001,A43,Log!$C$2:$C$1001,"Received",Log!$A$2:$A$1001,"&gt;="&amp;N(U43))))</f>
        <v/>
      </c>
      <c r="G43" s="24" t="n"/>
      <c r="H43" s="24" t="n"/>
      <c r="I43" s="24" t="n"/>
      <c r="J43" s="24" t="n"/>
      <c r="K43" s="24" t="n"/>
      <c r="L43" s="34" t="n"/>
      <c r="M43" s="24" t="n"/>
      <c r="N43" s="24" t="n"/>
      <c r="O43" s="35" t="n"/>
      <c r="P43" s="25" t="n"/>
      <c r="Q43" s="36">
        <f>IF(A43="","",IF(P43&lt;&gt;"",P43,IFERROR(IF(N(INDEX(Suppliers!$E$5:$E$24,MATCH(H43,Suppliers!$B$5:$B$24,0)))&gt;0,INDEX(Suppliers!$E$5:$E$24,MATCH(H43,Suppliers!$B$5:$B$24,0)),5),5)))</f>
        <v/>
      </c>
      <c r="R43" s="35" t="n"/>
      <c r="S43" s="37" t="n"/>
      <c r="T43" s="25" t="n"/>
      <c r="U43" s="37" t="n"/>
      <c r="V43" s="37" t="n"/>
      <c r="W43" s="36">
        <f>IF(A43="","",ROUNDUP(N(O43)*(Q43/7+Settings!$C$5),0))</f>
        <v/>
      </c>
      <c r="X43" s="25" t="n"/>
      <c r="Y43" s="25" t="n"/>
      <c r="Z43" s="32">
        <f>IF(A43="","",IF(Y43&lt;&gt;"",Y43,MAX(1,ROUNDUP(N(O43)*Settings!$C$7,0))))</f>
        <v/>
      </c>
      <c r="AA43" s="38">
        <f>IF(A43="","",MAX(N(S43),_xlfn.MAXIFS(Log!$A$2:$A$1001,Log!$B$2:$B$1001,A43,Log!$C$2:$C$1001,"Count")))</f>
        <v/>
      </c>
      <c r="AB43" s="39">
        <f>IF(A43="","",Z43*N(L43))</f>
        <v/>
      </c>
      <c r="AC43" s="40">
        <f>IF(A43="","",N(O43)*52*N(L43))</f>
        <v/>
      </c>
      <c r="AD43" s="39">
        <f>IF(A43="","",C43*N(L43))</f>
        <v/>
      </c>
      <c r="AE43" s="41">
        <f>IF(A43="",0,IF(AND(OR(B43="Order now",B43="Critical"),F43=0),1,0))</f>
        <v/>
      </c>
      <c r="AF43" s="41">
        <f>IF(AE43=1,IFERROR(MATCH(H43,Suppliers!$B$5:$B$24,0),99)*1000+ROW(),"")</f>
        <v/>
      </c>
      <c r="AG43" s="41">
        <f>IF(AF43="","",COUNTIF('Stock list'!$AF$2:$AF$301,"&lt;"&amp;AF43)+1)</f>
        <v/>
      </c>
      <c r="AH43" s="41">
        <f>IF(A43="",0,IF(OR(AA43=0,AND(B43="OK",OR(C43&lt;=D43+N(O43)*Settings!$C$6,Settings!$C$10-AA43&gt;Settings!$C$8*7))),1,0))</f>
        <v/>
      </c>
      <c r="AI43" s="41">
        <f>IF(AH43=0,"",IF(AA43=0,"Never counted",IF(C43&lt;=D43+N(O43)*Settings!$C$6,"Near the reorder point","Not counted for "&amp;INT((Settings!$C$10-AA43)/7)&amp;" weeks")))</f>
        <v/>
      </c>
      <c r="AJ43" s="41">
        <f>IF(AH43=1,IFERROR(MATCH(M43,Settings!$G$19:$G$38,0),99)*1000+ROW(),"")</f>
        <v/>
      </c>
      <c r="AK43" s="41">
        <f>IF(AJ43="","",COUNTIF('Stock list'!$AJ$2:$AJ$301,"&lt;"&amp;AJ43)+1)</f>
        <v/>
      </c>
      <c r="AL43" s="41">
        <f>IF(OR(A43="",N(AC43)=0),"",AC43+ROW()/1000000)</f>
        <v/>
      </c>
    </row>
    <row r="44">
      <c r="A44" s="24" t="n"/>
      <c r="B44" s="30">
        <f>IF(A44="","",IF(AA44=0,"No count",IF(AND(N(O44)&gt;0,C44/O44*7&lt;Q44),"Critical",IF(F44&gt;0,"On order",IF(AND(D44&gt;0,C44&lt;=D44),"Order now","OK")))))</f>
        <v/>
      </c>
      <c r="C44" s="31">
        <f>IF(A44="","",MAX(0,IF(_xlfn.MAXIFS(Log!$A$2:$A$1001,Log!$B$2:$B$1001,A44,Log!$C$2:$C$1001,"Count")&gt;N(S44),_xlfn.MAXIFS(Log!$D$2:$D$1001,Log!$B$2:$B$1001,A44,Log!$C$2:$C$1001,"Count",Log!$A$2:$A$1001,AA44),N(R44))+SUMIFS(Log!$D$2:$D$1001,Log!$B$2:$B$1001,A44,Log!$C$2:$C$1001,"Received",Log!$A$2:$A$1001,"&gt;"&amp;AA44)-SUMIFS(Log!$D$2:$D$1001,Log!$B$2:$B$1001,A44,Log!$C$2:$C$1001,"Used",Log!$A$2:$A$1001,"&gt;"&amp;AA44)+SUMIFS(Log!$D$2:$D$1001,Log!$B$2:$B$1001,A44,Log!$C$2:$C$1001,"Adjustment",Log!$A$2:$A$1001,"&gt;"&amp;AA44)))</f>
        <v/>
      </c>
      <c r="D44" s="32">
        <f>IF(A44="","",IF(X44&lt;&gt;"",X44,W44))</f>
        <v/>
      </c>
      <c r="E44" s="33">
        <f>IF(OR(A44="",N(O44)=0),"",C44/O44)</f>
        <v/>
      </c>
      <c r="F44" s="31">
        <f>IF(A44="","",MAX(0,N(T44)-SUMIFS(Log!$D$2:$D$1001,Log!$B$2:$B$1001,A44,Log!$C$2:$C$1001,"Received",Log!$A$2:$A$1001,"&gt;="&amp;N(U44))))</f>
        <v/>
      </c>
      <c r="G44" s="24" t="n"/>
      <c r="H44" s="24" t="n"/>
      <c r="I44" s="24" t="n"/>
      <c r="J44" s="24" t="n"/>
      <c r="K44" s="24" t="n"/>
      <c r="L44" s="34" t="n"/>
      <c r="M44" s="24" t="n"/>
      <c r="N44" s="24" t="n"/>
      <c r="O44" s="35" t="n"/>
      <c r="P44" s="25" t="n"/>
      <c r="Q44" s="36">
        <f>IF(A44="","",IF(P44&lt;&gt;"",P44,IFERROR(IF(N(INDEX(Suppliers!$E$5:$E$24,MATCH(H44,Suppliers!$B$5:$B$24,0)))&gt;0,INDEX(Suppliers!$E$5:$E$24,MATCH(H44,Suppliers!$B$5:$B$24,0)),5),5)))</f>
        <v/>
      </c>
      <c r="R44" s="35" t="n"/>
      <c r="S44" s="37" t="n"/>
      <c r="T44" s="25" t="n"/>
      <c r="U44" s="37" t="n"/>
      <c r="V44" s="37" t="n"/>
      <c r="W44" s="36">
        <f>IF(A44="","",ROUNDUP(N(O44)*(Q44/7+Settings!$C$5),0))</f>
        <v/>
      </c>
      <c r="X44" s="25" t="n"/>
      <c r="Y44" s="25" t="n"/>
      <c r="Z44" s="32">
        <f>IF(A44="","",IF(Y44&lt;&gt;"",Y44,MAX(1,ROUNDUP(N(O44)*Settings!$C$7,0))))</f>
        <v/>
      </c>
      <c r="AA44" s="38">
        <f>IF(A44="","",MAX(N(S44),_xlfn.MAXIFS(Log!$A$2:$A$1001,Log!$B$2:$B$1001,A44,Log!$C$2:$C$1001,"Count")))</f>
        <v/>
      </c>
      <c r="AB44" s="39">
        <f>IF(A44="","",Z44*N(L44))</f>
        <v/>
      </c>
      <c r="AC44" s="40">
        <f>IF(A44="","",N(O44)*52*N(L44))</f>
        <v/>
      </c>
      <c r="AD44" s="39">
        <f>IF(A44="","",C44*N(L44))</f>
        <v/>
      </c>
      <c r="AE44" s="41">
        <f>IF(A44="",0,IF(AND(OR(B44="Order now",B44="Critical"),F44=0),1,0))</f>
        <v/>
      </c>
      <c r="AF44" s="41">
        <f>IF(AE44=1,IFERROR(MATCH(H44,Suppliers!$B$5:$B$24,0),99)*1000+ROW(),"")</f>
        <v/>
      </c>
      <c r="AG44" s="41">
        <f>IF(AF44="","",COUNTIF('Stock list'!$AF$2:$AF$301,"&lt;"&amp;AF44)+1)</f>
        <v/>
      </c>
      <c r="AH44" s="41">
        <f>IF(A44="",0,IF(OR(AA44=0,AND(B44="OK",OR(C44&lt;=D44+N(O44)*Settings!$C$6,Settings!$C$10-AA44&gt;Settings!$C$8*7))),1,0))</f>
        <v/>
      </c>
      <c r="AI44" s="41">
        <f>IF(AH44=0,"",IF(AA44=0,"Never counted",IF(C44&lt;=D44+N(O44)*Settings!$C$6,"Near the reorder point","Not counted for "&amp;INT((Settings!$C$10-AA44)/7)&amp;" weeks")))</f>
        <v/>
      </c>
      <c r="AJ44" s="41">
        <f>IF(AH44=1,IFERROR(MATCH(M44,Settings!$G$19:$G$38,0),99)*1000+ROW(),"")</f>
        <v/>
      </c>
      <c r="AK44" s="41">
        <f>IF(AJ44="","",COUNTIF('Stock list'!$AJ$2:$AJ$301,"&lt;"&amp;AJ44)+1)</f>
        <v/>
      </c>
      <c r="AL44" s="41">
        <f>IF(OR(A44="",N(AC44)=0),"",AC44+ROW()/1000000)</f>
        <v/>
      </c>
    </row>
    <row r="45">
      <c r="A45" s="24" t="n"/>
      <c r="B45" s="30">
        <f>IF(A45="","",IF(AA45=0,"No count",IF(AND(N(O45)&gt;0,C45/O45*7&lt;Q45),"Critical",IF(F45&gt;0,"On order",IF(AND(D45&gt;0,C45&lt;=D45),"Order now","OK")))))</f>
        <v/>
      </c>
      <c r="C45" s="31">
        <f>IF(A45="","",MAX(0,IF(_xlfn.MAXIFS(Log!$A$2:$A$1001,Log!$B$2:$B$1001,A45,Log!$C$2:$C$1001,"Count")&gt;N(S45),_xlfn.MAXIFS(Log!$D$2:$D$1001,Log!$B$2:$B$1001,A45,Log!$C$2:$C$1001,"Count",Log!$A$2:$A$1001,AA45),N(R45))+SUMIFS(Log!$D$2:$D$1001,Log!$B$2:$B$1001,A45,Log!$C$2:$C$1001,"Received",Log!$A$2:$A$1001,"&gt;"&amp;AA45)-SUMIFS(Log!$D$2:$D$1001,Log!$B$2:$B$1001,A45,Log!$C$2:$C$1001,"Used",Log!$A$2:$A$1001,"&gt;"&amp;AA45)+SUMIFS(Log!$D$2:$D$1001,Log!$B$2:$B$1001,A45,Log!$C$2:$C$1001,"Adjustment",Log!$A$2:$A$1001,"&gt;"&amp;AA45)))</f>
        <v/>
      </c>
      <c r="D45" s="32">
        <f>IF(A45="","",IF(X45&lt;&gt;"",X45,W45))</f>
        <v/>
      </c>
      <c r="E45" s="33">
        <f>IF(OR(A45="",N(O45)=0),"",C45/O45)</f>
        <v/>
      </c>
      <c r="F45" s="31">
        <f>IF(A45="","",MAX(0,N(T45)-SUMIFS(Log!$D$2:$D$1001,Log!$B$2:$B$1001,A45,Log!$C$2:$C$1001,"Received",Log!$A$2:$A$1001,"&gt;="&amp;N(U45))))</f>
        <v/>
      </c>
      <c r="G45" s="24" t="n"/>
      <c r="H45" s="24" t="n"/>
      <c r="I45" s="24" t="n"/>
      <c r="J45" s="24" t="n"/>
      <c r="K45" s="24" t="n"/>
      <c r="L45" s="34" t="n"/>
      <c r="M45" s="24" t="n"/>
      <c r="N45" s="24" t="n"/>
      <c r="O45" s="35" t="n"/>
      <c r="P45" s="25" t="n"/>
      <c r="Q45" s="36">
        <f>IF(A45="","",IF(P45&lt;&gt;"",P45,IFERROR(IF(N(INDEX(Suppliers!$E$5:$E$24,MATCH(H45,Suppliers!$B$5:$B$24,0)))&gt;0,INDEX(Suppliers!$E$5:$E$24,MATCH(H45,Suppliers!$B$5:$B$24,0)),5),5)))</f>
        <v/>
      </c>
      <c r="R45" s="35" t="n"/>
      <c r="S45" s="37" t="n"/>
      <c r="T45" s="25" t="n"/>
      <c r="U45" s="37" t="n"/>
      <c r="V45" s="37" t="n"/>
      <c r="W45" s="36">
        <f>IF(A45="","",ROUNDUP(N(O45)*(Q45/7+Settings!$C$5),0))</f>
        <v/>
      </c>
      <c r="X45" s="25" t="n"/>
      <c r="Y45" s="25" t="n"/>
      <c r="Z45" s="32">
        <f>IF(A45="","",IF(Y45&lt;&gt;"",Y45,MAX(1,ROUNDUP(N(O45)*Settings!$C$7,0))))</f>
        <v/>
      </c>
      <c r="AA45" s="38">
        <f>IF(A45="","",MAX(N(S45),_xlfn.MAXIFS(Log!$A$2:$A$1001,Log!$B$2:$B$1001,A45,Log!$C$2:$C$1001,"Count")))</f>
        <v/>
      </c>
      <c r="AB45" s="39">
        <f>IF(A45="","",Z45*N(L45))</f>
        <v/>
      </c>
      <c r="AC45" s="40">
        <f>IF(A45="","",N(O45)*52*N(L45))</f>
        <v/>
      </c>
      <c r="AD45" s="39">
        <f>IF(A45="","",C45*N(L45))</f>
        <v/>
      </c>
      <c r="AE45" s="41">
        <f>IF(A45="",0,IF(AND(OR(B45="Order now",B45="Critical"),F45=0),1,0))</f>
        <v/>
      </c>
      <c r="AF45" s="41">
        <f>IF(AE45=1,IFERROR(MATCH(H45,Suppliers!$B$5:$B$24,0),99)*1000+ROW(),"")</f>
        <v/>
      </c>
      <c r="AG45" s="41">
        <f>IF(AF45="","",COUNTIF('Stock list'!$AF$2:$AF$301,"&lt;"&amp;AF45)+1)</f>
        <v/>
      </c>
      <c r="AH45" s="41">
        <f>IF(A45="",0,IF(OR(AA45=0,AND(B45="OK",OR(C45&lt;=D45+N(O45)*Settings!$C$6,Settings!$C$10-AA45&gt;Settings!$C$8*7))),1,0))</f>
        <v/>
      </c>
      <c r="AI45" s="41">
        <f>IF(AH45=0,"",IF(AA45=0,"Never counted",IF(C45&lt;=D45+N(O45)*Settings!$C$6,"Near the reorder point","Not counted for "&amp;INT((Settings!$C$10-AA45)/7)&amp;" weeks")))</f>
        <v/>
      </c>
      <c r="AJ45" s="41">
        <f>IF(AH45=1,IFERROR(MATCH(M45,Settings!$G$19:$G$38,0),99)*1000+ROW(),"")</f>
        <v/>
      </c>
      <c r="AK45" s="41">
        <f>IF(AJ45="","",COUNTIF('Stock list'!$AJ$2:$AJ$301,"&lt;"&amp;AJ45)+1)</f>
        <v/>
      </c>
      <c r="AL45" s="41">
        <f>IF(OR(A45="",N(AC45)=0),"",AC45+ROW()/1000000)</f>
        <v/>
      </c>
    </row>
    <row r="46">
      <c r="A46" s="24" t="n"/>
      <c r="B46" s="30">
        <f>IF(A46="","",IF(AA46=0,"No count",IF(AND(N(O46)&gt;0,C46/O46*7&lt;Q46),"Critical",IF(F46&gt;0,"On order",IF(AND(D46&gt;0,C46&lt;=D46),"Order now","OK")))))</f>
        <v/>
      </c>
      <c r="C46" s="31">
        <f>IF(A46="","",MAX(0,IF(_xlfn.MAXIFS(Log!$A$2:$A$1001,Log!$B$2:$B$1001,A46,Log!$C$2:$C$1001,"Count")&gt;N(S46),_xlfn.MAXIFS(Log!$D$2:$D$1001,Log!$B$2:$B$1001,A46,Log!$C$2:$C$1001,"Count",Log!$A$2:$A$1001,AA46),N(R46))+SUMIFS(Log!$D$2:$D$1001,Log!$B$2:$B$1001,A46,Log!$C$2:$C$1001,"Received",Log!$A$2:$A$1001,"&gt;"&amp;AA46)-SUMIFS(Log!$D$2:$D$1001,Log!$B$2:$B$1001,A46,Log!$C$2:$C$1001,"Used",Log!$A$2:$A$1001,"&gt;"&amp;AA46)+SUMIFS(Log!$D$2:$D$1001,Log!$B$2:$B$1001,A46,Log!$C$2:$C$1001,"Adjustment",Log!$A$2:$A$1001,"&gt;"&amp;AA46)))</f>
        <v/>
      </c>
      <c r="D46" s="32">
        <f>IF(A46="","",IF(X46&lt;&gt;"",X46,W46))</f>
        <v/>
      </c>
      <c r="E46" s="33">
        <f>IF(OR(A46="",N(O46)=0),"",C46/O46)</f>
        <v/>
      </c>
      <c r="F46" s="31">
        <f>IF(A46="","",MAX(0,N(T46)-SUMIFS(Log!$D$2:$D$1001,Log!$B$2:$B$1001,A46,Log!$C$2:$C$1001,"Received",Log!$A$2:$A$1001,"&gt;="&amp;N(U46))))</f>
        <v/>
      </c>
      <c r="G46" s="24" t="n"/>
      <c r="H46" s="24" t="n"/>
      <c r="I46" s="24" t="n"/>
      <c r="J46" s="24" t="n"/>
      <c r="K46" s="24" t="n"/>
      <c r="L46" s="34" t="n"/>
      <c r="M46" s="24" t="n"/>
      <c r="N46" s="24" t="n"/>
      <c r="O46" s="35" t="n"/>
      <c r="P46" s="25" t="n"/>
      <c r="Q46" s="36">
        <f>IF(A46="","",IF(P46&lt;&gt;"",P46,IFERROR(IF(N(INDEX(Suppliers!$E$5:$E$24,MATCH(H46,Suppliers!$B$5:$B$24,0)))&gt;0,INDEX(Suppliers!$E$5:$E$24,MATCH(H46,Suppliers!$B$5:$B$24,0)),5),5)))</f>
        <v/>
      </c>
      <c r="R46" s="35" t="n"/>
      <c r="S46" s="37" t="n"/>
      <c r="T46" s="25" t="n"/>
      <c r="U46" s="37" t="n"/>
      <c r="V46" s="37" t="n"/>
      <c r="W46" s="36">
        <f>IF(A46="","",ROUNDUP(N(O46)*(Q46/7+Settings!$C$5),0))</f>
        <v/>
      </c>
      <c r="X46" s="25" t="n"/>
      <c r="Y46" s="25" t="n"/>
      <c r="Z46" s="32">
        <f>IF(A46="","",IF(Y46&lt;&gt;"",Y46,MAX(1,ROUNDUP(N(O46)*Settings!$C$7,0))))</f>
        <v/>
      </c>
      <c r="AA46" s="38">
        <f>IF(A46="","",MAX(N(S46),_xlfn.MAXIFS(Log!$A$2:$A$1001,Log!$B$2:$B$1001,A46,Log!$C$2:$C$1001,"Count")))</f>
        <v/>
      </c>
      <c r="AB46" s="39">
        <f>IF(A46="","",Z46*N(L46))</f>
        <v/>
      </c>
      <c r="AC46" s="40">
        <f>IF(A46="","",N(O46)*52*N(L46))</f>
        <v/>
      </c>
      <c r="AD46" s="39">
        <f>IF(A46="","",C46*N(L46))</f>
        <v/>
      </c>
      <c r="AE46" s="41">
        <f>IF(A46="",0,IF(AND(OR(B46="Order now",B46="Critical"),F46=0),1,0))</f>
        <v/>
      </c>
      <c r="AF46" s="41">
        <f>IF(AE46=1,IFERROR(MATCH(H46,Suppliers!$B$5:$B$24,0),99)*1000+ROW(),"")</f>
        <v/>
      </c>
      <c r="AG46" s="41">
        <f>IF(AF46="","",COUNTIF('Stock list'!$AF$2:$AF$301,"&lt;"&amp;AF46)+1)</f>
        <v/>
      </c>
      <c r="AH46" s="41">
        <f>IF(A46="",0,IF(OR(AA46=0,AND(B46="OK",OR(C46&lt;=D46+N(O46)*Settings!$C$6,Settings!$C$10-AA46&gt;Settings!$C$8*7))),1,0))</f>
        <v/>
      </c>
      <c r="AI46" s="41">
        <f>IF(AH46=0,"",IF(AA46=0,"Never counted",IF(C46&lt;=D46+N(O46)*Settings!$C$6,"Near the reorder point","Not counted for "&amp;INT((Settings!$C$10-AA46)/7)&amp;" weeks")))</f>
        <v/>
      </c>
      <c r="AJ46" s="41">
        <f>IF(AH46=1,IFERROR(MATCH(M46,Settings!$G$19:$G$38,0),99)*1000+ROW(),"")</f>
        <v/>
      </c>
      <c r="AK46" s="41">
        <f>IF(AJ46="","",COUNTIF('Stock list'!$AJ$2:$AJ$301,"&lt;"&amp;AJ46)+1)</f>
        <v/>
      </c>
      <c r="AL46" s="41">
        <f>IF(OR(A46="",N(AC46)=0),"",AC46+ROW()/1000000)</f>
        <v/>
      </c>
    </row>
    <row r="47">
      <c r="A47" s="24" t="n"/>
      <c r="B47" s="30">
        <f>IF(A47="","",IF(AA47=0,"No count",IF(AND(N(O47)&gt;0,C47/O47*7&lt;Q47),"Critical",IF(F47&gt;0,"On order",IF(AND(D47&gt;0,C47&lt;=D47),"Order now","OK")))))</f>
        <v/>
      </c>
      <c r="C47" s="31">
        <f>IF(A47="","",MAX(0,IF(_xlfn.MAXIFS(Log!$A$2:$A$1001,Log!$B$2:$B$1001,A47,Log!$C$2:$C$1001,"Count")&gt;N(S47),_xlfn.MAXIFS(Log!$D$2:$D$1001,Log!$B$2:$B$1001,A47,Log!$C$2:$C$1001,"Count",Log!$A$2:$A$1001,AA47),N(R47))+SUMIFS(Log!$D$2:$D$1001,Log!$B$2:$B$1001,A47,Log!$C$2:$C$1001,"Received",Log!$A$2:$A$1001,"&gt;"&amp;AA47)-SUMIFS(Log!$D$2:$D$1001,Log!$B$2:$B$1001,A47,Log!$C$2:$C$1001,"Used",Log!$A$2:$A$1001,"&gt;"&amp;AA47)+SUMIFS(Log!$D$2:$D$1001,Log!$B$2:$B$1001,A47,Log!$C$2:$C$1001,"Adjustment",Log!$A$2:$A$1001,"&gt;"&amp;AA47)))</f>
        <v/>
      </c>
      <c r="D47" s="32">
        <f>IF(A47="","",IF(X47&lt;&gt;"",X47,W47))</f>
        <v/>
      </c>
      <c r="E47" s="33">
        <f>IF(OR(A47="",N(O47)=0),"",C47/O47)</f>
        <v/>
      </c>
      <c r="F47" s="31">
        <f>IF(A47="","",MAX(0,N(T47)-SUMIFS(Log!$D$2:$D$1001,Log!$B$2:$B$1001,A47,Log!$C$2:$C$1001,"Received",Log!$A$2:$A$1001,"&gt;="&amp;N(U47))))</f>
        <v/>
      </c>
      <c r="G47" s="24" t="n"/>
      <c r="H47" s="24" t="n"/>
      <c r="I47" s="24" t="n"/>
      <c r="J47" s="24" t="n"/>
      <c r="K47" s="24" t="n"/>
      <c r="L47" s="34" t="n"/>
      <c r="M47" s="24" t="n"/>
      <c r="N47" s="24" t="n"/>
      <c r="O47" s="35" t="n"/>
      <c r="P47" s="25" t="n"/>
      <c r="Q47" s="36">
        <f>IF(A47="","",IF(P47&lt;&gt;"",P47,IFERROR(IF(N(INDEX(Suppliers!$E$5:$E$24,MATCH(H47,Suppliers!$B$5:$B$24,0)))&gt;0,INDEX(Suppliers!$E$5:$E$24,MATCH(H47,Suppliers!$B$5:$B$24,0)),5),5)))</f>
        <v/>
      </c>
      <c r="R47" s="35" t="n"/>
      <c r="S47" s="37" t="n"/>
      <c r="T47" s="25" t="n"/>
      <c r="U47" s="37" t="n"/>
      <c r="V47" s="37" t="n"/>
      <c r="W47" s="36">
        <f>IF(A47="","",ROUNDUP(N(O47)*(Q47/7+Settings!$C$5),0))</f>
        <v/>
      </c>
      <c r="X47" s="25" t="n"/>
      <c r="Y47" s="25" t="n"/>
      <c r="Z47" s="32">
        <f>IF(A47="","",IF(Y47&lt;&gt;"",Y47,MAX(1,ROUNDUP(N(O47)*Settings!$C$7,0))))</f>
        <v/>
      </c>
      <c r="AA47" s="38">
        <f>IF(A47="","",MAX(N(S47),_xlfn.MAXIFS(Log!$A$2:$A$1001,Log!$B$2:$B$1001,A47,Log!$C$2:$C$1001,"Count")))</f>
        <v/>
      </c>
      <c r="AB47" s="39">
        <f>IF(A47="","",Z47*N(L47))</f>
        <v/>
      </c>
      <c r="AC47" s="40">
        <f>IF(A47="","",N(O47)*52*N(L47))</f>
        <v/>
      </c>
      <c r="AD47" s="39">
        <f>IF(A47="","",C47*N(L47))</f>
        <v/>
      </c>
      <c r="AE47" s="41">
        <f>IF(A47="",0,IF(AND(OR(B47="Order now",B47="Critical"),F47=0),1,0))</f>
        <v/>
      </c>
      <c r="AF47" s="41">
        <f>IF(AE47=1,IFERROR(MATCH(H47,Suppliers!$B$5:$B$24,0),99)*1000+ROW(),"")</f>
        <v/>
      </c>
      <c r="AG47" s="41">
        <f>IF(AF47="","",COUNTIF('Stock list'!$AF$2:$AF$301,"&lt;"&amp;AF47)+1)</f>
        <v/>
      </c>
      <c r="AH47" s="41">
        <f>IF(A47="",0,IF(OR(AA47=0,AND(B47="OK",OR(C47&lt;=D47+N(O47)*Settings!$C$6,Settings!$C$10-AA47&gt;Settings!$C$8*7))),1,0))</f>
        <v/>
      </c>
      <c r="AI47" s="41">
        <f>IF(AH47=0,"",IF(AA47=0,"Never counted",IF(C47&lt;=D47+N(O47)*Settings!$C$6,"Near the reorder point","Not counted for "&amp;INT((Settings!$C$10-AA47)/7)&amp;" weeks")))</f>
        <v/>
      </c>
      <c r="AJ47" s="41">
        <f>IF(AH47=1,IFERROR(MATCH(M47,Settings!$G$19:$G$38,0),99)*1000+ROW(),"")</f>
        <v/>
      </c>
      <c r="AK47" s="41">
        <f>IF(AJ47="","",COUNTIF('Stock list'!$AJ$2:$AJ$301,"&lt;"&amp;AJ47)+1)</f>
        <v/>
      </c>
      <c r="AL47" s="41">
        <f>IF(OR(A47="",N(AC47)=0),"",AC47+ROW()/1000000)</f>
        <v/>
      </c>
    </row>
    <row r="48">
      <c r="A48" s="24" t="n"/>
      <c r="B48" s="30">
        <f>IF(A48="","",IF(AA48=0,"No count",IF(AND(N(O48)&gt;0,C48/O48*7&lt;Q48),"Critical",IF(F48&gt;0,"On order",IF(AND(D48&gt;0,C48&lt;=D48),"Order now","OK")))))</f>
        <v/>
      </c>
      <c r="C48" s="31">
        <f>IF(A48="","",MAX(0,IF(_xlfn.MAXIFS(Log!$A$2:$A$1001,Log!$B$2:$B$1001,A48,Log!$C$2:$C$1001,"Count")&gt;N(S48),_xlfn.MAXIFS(Log!$D$2:$D$1001,Log!$B$2:$B$1001,A48,Log!$C$2:$C$1001,"Count",Log!$A$2:$A$1001,AA48),N(R48))+SUMIFS(Log!$D$2:$D$1001,Log!$B$2:$B$1001,A48,Log!$C$2:$C$1001,"Received",Log!$A$2:$A$1001,"&gt;"&amp;AA48)-SUMIFS(Log!$D$2:$D$1001,Log!$B$2:$B$1001,A48,Log!$C$2:$C$1001,"Used",Log!$A$2:$A$1001,"&gt;"&amp;AA48)+SUMIFS(Log!$D$2:$D$1001,Log!$B$2:$B$1001,A48,Log!$C$2:$C$1001,"Adjustment",Log!$A$2:$A$1001,"&gt;"&amp;AA48)))</f>
        <v/>
      </c>
      <c r="D48" s="32">
        <f>IF(A48="","",IF(X48&lt;&gt;"",X48,W48))</f>
        <v/>
      </c>
      <c r="E48" s="33">
        <f>IF(OR(A48="",N(O48)=0),"",C48/O48)</f>
        <v/>
      </c>
      <c r="F48" s="31">
        <f>IF(A48="","",MAX(0,N(T48)-SUMIFS(Log!$D$2:$D$1001,Log!$B$2:$B$1001,A48,Log!$C$2:$C$1001,"Received",Log!$A$2:$A$1001,"&gt;="&amp;N(U48))))</f>
        <v/>
      </c>
      <c r="G48" s="24" t="n"/>
      <c r="H48" s="24" t="n"/>
      <c r="I48" s="24" t="n"/>
      <c r="J48" s="24" t="n"/>
      <c r="K48" s="24" t="n"/>
      <c r="L48" s="34" t="n"/>
      <c r="M48" s="24" t="n"/>
      <c r="N48" s="24" t="n"/>
      <c r="O48" s="35" t="n"/>
      <c r="P48" s="25" t="n"/>
      <c r="Q48" s="36">
        <f>IF(A48="","",IF(P48&lt;&gt;"",P48,IFERROR(IF(N(INDEX(Suppliers!$E$5:$E$24,MATCH(H48,Suppliers!$B$5:$B$24,0)))&gt;0,INDEX(Suppliers!$E$5:$E$24,MATCH(H48,Suppliers!$B$5:$B$24,0)),5),5)))</f>
        <v/>
      </c>
      <c r="R48" s="35" t="n"/>
      <c r="S48" s="37" t="n"/>
      <c r="T48" s="25" t="n"/>
      <c r="U48" s="37" t="n"/>
      <c r="V48" s="37" t="n"/>
      <c r="W48" s="36">
        <f>IF(A48="","",ROUNDUP(N(O48)*(Q48/7+Settings!$C$5),0))</f>
        <v/>
      </c>
      <c r="X48" s="25" t="n"/>
      <c r="Y48" s="25" t="n"/>
      <c r="Z48" s="32">
        <f>IF(A48="","",IF(Y48&lt;&gt;"",Y48,MAX(1,ROUNDUP(N(O48)*Settings!$C$7,0))))</f>
        <v/>
      </c>
      <c r="AA48" s="38">
        <f>IF(A48="","",MAX(N(S48),_xlfn.MAXIFS(Log!$A$2:$A$1001,Log!$B$2:$B$1001,A48,Log!$C$2:$C$1001,"Count")))</f>
        <v/>
      </c>
      <c r="AB48" s="39">
        <f>IF(A48="","",Z48*N(L48))</f>
        <v/>
      </c>
      <c r="AC48" s="40">
        <f>IF(A48="","",N(O48)*52*N(L48))</f>
        <v/>
      </c>
      <c r="AD48" s="39">
        <f>IF(A48="","",C48*N(L48))</f>
        <v/>
      </c>
      <c r="AE48" s="41">
        <f>IF(A48="",0,IF(AND(OR(B48="Order now",B48="Critical"),F48=0),1,0))</f>
        <v/>
      </c>
      <c r="AF48" s="41">
        <f>IF(AE48=1,IFERROR(MATCH(H48,Suppliers!$B$5:$B$24,0),99)*1000+ROW(),"")</f>
        <v/>
      </c>
      <c r="AG48" s="41">
        <f>IF(AF48="","",COUNTIF('Stock list'!$AF$2:$AF$301,"&lt;"&amp;AF48)+1)</f>
        <v/>
      </c>
      <c r="AH48" s="41">
        <f>IF(A48="",0,IF(OR(AA48=0,AND(B48="OK",OR(C48&lt;=D48+N(O48)*Settings!$C$6,Settings!$C$10-AA48&gt;Settings!$C$8*7))),1,0))</f>
        <v/>
      </c>
      <c r="AI48" s="41">
        <f>IF(AH48=0,"",IF(AA48=0,"Never counted",IF(C48&lt;=D48+N(O48)*Settings!$C$6,"Near the reorder point","Not counted for "&amp;INT((Settings!$C$10-AA48)/7)&amp;" weeks")))</f>
        <v/>
      </c>
      <c r="AJ48" s="41">
        <f>IF(AH48=1,IFERROR(MATCH(M48,Settings!$G$19:$G$38,0),99)*1000+ROW(),"")</f>
        <v/>
      </c>
      <c r="AK48" s="41">
        <f>IF(AJ48="","",COUNTIF('Stock list'!$AJ$2:$AJ$301,"&lt;"&amp;AJ48)+1)</f>
        <v/>
      </c>
      <c r="AL48" s="41">
        <f>IF(OR(A48="",N(AC48)=0),"",AC48+ROW()/1000000)</f>
        <v/>
      </c>
    </row>
    <row r="49">
      <c r="A49" s="24" t="n"/>
      <c r="B49" s="30">
        <f>IF(A49="","",IF(AA49=0,"No count",IF(AND(N(O49)&gt;0,C49/O49*7&lt;Q49),"Critical",IF(F49&gt;0,"On order",IF(AND(D49&gt;0,C49&lt;=D49),"Order now","OK")))))</f>
        <v/>
      </c>
      <c r="C49" s="31">
        <f>IF(A49="","",MAX(0,IF(_xlfn.MAXIFS(Log!$A$2:$A$1001,Log!$B$2:$B$1001,A49,Log!$C$2:$C$1001,"Count")&gt;N(S49),_xlfn.MAXIFS(Log!$D$2:$D$1001,Log!$B$2:$B$1001,A49,Log!$C$2:$C$1001,"Count",Log!$A$2:$A$1001,AA49),N(R49))+SUMIFS(Log!$D$2:$D$1001,Log!$B$2:$B$1001,A49,Log!$C$2:$C$1001,"Received",Log!$A$2:$A$1001,"&gt;"&amp;AA49)-SUMIFS(Log!$D$2:$D$1001,Log!$B$2:$B$1001,A49,Log!$C$2:$C$1001,"Used",Log!$A$2:$A$1001,"&gt;"&amp;AA49)+SUMIFS(Log!$D$2:$D$1001,Log!$B$2:$B$1001,A49,Log!$C$2:$C$1001,"Adjustment",Log!$A$2:$A$1001,"&gt;"&amp;AA49)))</f>
        <v/>
      </c>
      <c r="D49" s="32">
        <f>IF(A49="","",IF(X49&lt;&gt;"",X49,W49))</f>
        <v/>
      </c>
      <c r="E49" s="33">
        <f>IF(OR(A49="",N(O49)=0),"",C49/O49)</f>
        <v/>
      </c>
      <c r="F49" s="31">
        <f>IF(A49="","",MAX(0,N(T49)-SUMIFS(Log!$D$2:$D$1001,Log!$B$2:$B$1001,A49,Log!$C$2:$C$1001,"Received",Log!$A$2:$A$1001,"&gt;="&amp;N(U49))))</f>
        <v/>
      </c>
      <c r="G49" s="24" t="n"/>
      <c r="H49" s="24" t="n"/>
      <c r="I49" s="24" t="n"/>
      <c r="J49" s="24" t="n"/>
      <c r="K49" s="24" t="n"/>
      <c r="L49" s="34" t="n"/>
      <c r="M49" s="24" t="n"/>
      <c r="N49" s="24" t="n"/>
      <c r="O49" s="35" t="n"/>
      <c r="P49" s="25" t="n"/>
      <c r="Q49" s="36">
        <f>IF(A49="","",IF(P49&lt;&gt;"",P49,IFERROR(IF(N(INDEX(Suppliers!$E$5:$E$24,MATCH(H49,Suppliers!$B$5:$B$24,0)))&gt;0,INDEX(Suppliers!$E$5:$E$24,MATCH(H49,Suppliers!$B$5:$B$24,0)),5),5)))</f>
        <v/>
      </c>
      <c r="R49" s="35" t="n"/>
      <c r="S49" s="37" t="n"/>
      <c r="T49" s="25" t="n"/>
      <c r="U49" s="37" t="n"/>
      <c r="V49" s="37" t="n"/>
      <c r="W49" s="36">
        <f>IF(A49="","",ROUNDUP(N(O49)*(Q49/7+Settings!$C$5),0))</f>
        <v/>
      </c>
      <c r="X49" s="25" t="n"/>
      <c r="Y49" s="25" t="n"/>
      <c r="Z49" s="32">
        <f>IF(A49="","",IF(Y49&lt;&gt;"",Y49,MAX(1,ROUNDUP(N(O49)*Settings!$C$7,0))))</f>
        <v/>
      </c>
      <c r="AA49" s="38">
        <f>IF(A49="","",MAX(N(S49),_xlfn.MAXIFS(Log!$A$2:$A$1001,Log!$B$2:$B$1001,A49,Log!$C$2:$C$1001,"Count")))</f>
        <v/>
      </c>
      <c r="AB49" s="39">
        <f>IF(A49="","",Z49*N(L49))</f>
        <v/>
      </c>
      <c r="AC49" s="40">
        <f>IF(A49="","",N(O49)*52*N(L49))</f>
        <v/>
      </c>
      <c r="AD49" s="39">
        <f>IF(A49="","",C49*N(L49))</f>
        <v/>
      </c>
      <c r="AE49" s="41">
        <f>IF(A49="",0,IF(AND(OR(B49="Order now",B49="Critical"),F49=0),1,0))</f>
        <v/>
      </c>
      <c r="AF49" s="41">
        <f>IF(AE49=1,IFERROR(MATCH(H49,Suppliers!$B$5:$B$24,0),99)*1000+ROW(),"")</f>
        <v/>
      </c>
      <c r="AG49" s="41">
        <f>IF(AF49="","",COUNTIF('Stock list'!$AF$2:$AF$301,"&lt;"&amp;AF49)+1)</f>
        <v/>
      </c>
      <c r="AH49" s="41">
        <f>IF(A49="",0,IF(OR(AA49=0,AND(B49="OK",OR(C49&lt;=D49+N(O49)*Settings!$C$6,Settings!$C$10-AA49&gt;Settings!$C$8*7))),1,0))</f>
        <v/>
      </c>
      <c r="AI49" s="41">
        <f>IF(AH49=0,"",IF(AA49=0,"Never counted",IF(C49&lt;=D49+N(O49)*Settings!$C$6,"Near the reorder point","Not counted for "&amp;INT((Settings!$C$10-AA49)/7)&amp;" weeks")))</f>
        <v/>
      </c>
      <c r="AJ49" s="41">
        <f>IF(AH49=1,IFERROR(MATCH(M49,Settings!$G$19:$G$38,0),99)*1000+ROW(),"")</f>
        <v/>
      </c>
      <c r="AK49" s="41">
        <f>IF(AJ49="","",COUNTIF('Stock list'!$AJ$2:$AJ$301,"&lt;"&amp;AJ49)+1)</f>
        <v/>
      </c>
      <c r="AL49" s="41">
        <f>IF(OR(A49="",N(AC49)=0),"",AC49+ROW()/1000000)</f>
        <v/>
      </c>
    </row>
    <row r="50">
      <c r="A50" s="24" t="n"/>
      <c r="B50" s="30">
        <f>IF(A50="","",IF(AA50=0,"No count",IF(AND(N(O50)&gt;0,C50/O50*7&lt;Q50),"Critical",IF(F50&gt;0,"On order",IF(AND(D50&gt;0,C50&lt;=D50),"Order now","OK")))))</f>
        <v/>
      </c>
      <c r="C50" s="31">
        <f>IF(A50="","",MAX(0,IF(_xlfn.MAXIFS(Log!$A$2:$A$1001,Log!$B$2:$B$1001,A50,Log!$C$2:$C$1001,"Count")&gt;N(S50),_xlfn.MAXIFS(Log!$D$2:$D$1001,Log!$B$2:$B$1001,A50,Log!$C$2:$C$1001,"Count",Log!$A$2:$A$1001,AA50),N(R50))+SUMIFS(Log!$D$2:$D$1001,Log!$B$2:$B$1001,A50,Log!$C$2:$C$1001,"Received",Log!$A$2:$A$1001,"&gt;"&amp;AA50)-SUMIFS(Log!$D$2:$D$1001,Log!$B$2:$B$1001,A50,Log!$C$2:$C$1001,"Used",Log!$A$2:$A$1001,"&gt;"&amp;AA50)+SUMIFS(Log!$D$2:$D$1001,Log!$B$2:$B$1001,A50,Log!$C$2:$C$1001,"Adjustment",Log!$A$2:$A$1001,"&gt;"&amp;AA50)))</f>
        <v/>
      </c>
      <c r="D50" s="32">
        <f>IF(A50="","",IF(X50&lt;&gt;"",X50,W50))</f>
        <v/>
      </c>
      <c r="E50" s="33">
        <f>IF(OR(A50="",N(O50)=0),"",C50/O50)</f>
        <v/>
      </c>
      <c r="F50" s="31">
        <f>IF(A50="","",MAX(0,N(T50)-SUMIFS(Log!$D$2:$D$1001,Log!$B$2:$B$1001,A50,Log!$C$2:$C$1001,"Received",Log!$A$2:$A$1001,"&gt;="&amp;N(U50))))</f>
        <v/>
      </c>
      <c r="G50" s="24" t="n"/>
      <c r="H50" s="24" t="n"/>
      <c r="I50" s="24" t="n"/>
      <c r="J50" s="24" t="n"/>
      <c r="K50" s="24" t="n"/>
      <c r="L50" s="34" t="n"/>
      <c r="M50" s="24" t="n"/>
      <c r="N50" s="24" t="n"/>
      <c r="O50" s="35" t="n"/>
      <c r="P50" s="25" t="n"/>
      <c r="Q50" s="36">
        <f>IF(A50="","",IF(P50&lt;&gt;"",P50,IFERROR(IF(N(INDEX(Suppliers!$E$5:$E$24,MATCH(H50,Suppliers!$B$5:$B$24,0)))&gt;0,INDEX(Suppliers!$E$5:$E$24,MATCH(H50,Suppliers!$B$5:$B$24,0)),5),5)))</f>
        <v/>
      </c>
      <c r="R50" s="35" t="n"/>
      <c r="S50" s="37" t="n"/>
      <c r="T50" s="25" t="n"/>
      <c r="U50" s="37" t="n"/>
      <c r="V50" s="37" t="n"/>
      <c r="W50" s="36">
        <f>IF(A50="","",ROUNDUP(N(O50)*(Q50/7+Settings!$C$5),0))</f>
        <v/>
      </c>
      <c r="X50" s="25" t="n"/>
      <c r="Y50" s="25" t="n"/>
      <c r="Z50" s="32">
        <f>IF(A50="","",IF(Y50&lt;&gt;"",Y50,MAX(1,ROUNDUP(N(O50)*Settings!$C$7,0))))</f>
        <v/>
      </c>
      <c r="AA50" s="38">
        <f>IF(A50="","",MAX(N(S50),_xlfn.MAXIFS(Log!$A$2:$A$1001,Log!$B$2:$B$1001,A50,Log!$C$2:$C$1001,"Count")))</f>
        <v/>
      </c>
      <c r="AB50" s="39">
        <f>IF(A50="","",Z50*N(L50))</f>
        <v/>
      </c>
      <c r="AC50" s="40">
        <f>IF(A50="","",N(O50)*52*N(L50))</f>
        <v/>
      </c>
      <c r="AD50" s="39">
        <f>IF(A50="","",C50*N(L50))</f>
        <v/>
      </c>
      <c r="AE50" s="41">
        <f>IF(A50="",0,IF(AND(OR(B50="Order now",B50="Critical"),F50=0),1,0))</f>
        <v/>
      </c>
      <c r="AF50" s="41">
        <f>IF(AE50=1,IFERROR(MATCH(H50,Suppliers!$B$5:$B$24,0),99)*1000+ROW(),"")</f>
        <v/>
      </c>
      <c r="AG50" s="41">
        <f>IF(AF50="","",COUNTIF('Stock list'!$AF$2:$AF$301,"&lt;"&amp;AF50)+1)</f>
        <v/>
      </c>
      <c r="AH50" s="41">
        <f>IF(A50="",0,IF(OR(AA50=0,AND(B50="OK",OR(C50&lt;=D50+N(O50)*Settings!$C$6,Settings!$C$10-AA50&gt;Settings!$C$8*7))),1,0))</f>
        <v/>
      </c>
      <c r="AI50" s="41">
        <f>IF(AH50=0,"",IF(AA50=0,"Never counted",IF(C50&lt;=D50+N(O50)*Settings!$C$6,"Near the reorder point","Not counted for "&amp;INT((Settings!$C$10-AA50)/7)&amp;" weeks")))</f>
        <v/>
      </c>
      <c r="AJ50" s="41">
        <f>IF(AH50=1,IFERROR(MATCH(M50,Settings!$G$19:$G$38,0),99)*1000+ROW(),"")</f>
        <v/>
      </c>
      <c r="AK50" s="41">
        <f>IF(AJ50="","",COUNTIF('Stock list'!$AJ$2:$AJ$301,"&lt;"&amp;AJ50)+1)</f>
        <v/>
      </c>
      <c r="AL50" s="41">
        <f>IF(OR(A50="",N(AC50)=0),"",AC50+ROW()/1000000)</f>
        <v/>
      </c>
    </row>
    <row r="51">
      <c r="A51" s="24" t="n"/>
      <c r="B51" s="30">
        <f>IF(A51="","",IF(AA51=0,"No count",IF(AND(N(O51)&gt;0,C51/O51*7&lt;Q51),"Critical",IF(F51&gt;0,"On order",IF(AND(D51&gt;0,C51&lt;=D51),"Order now","OK")))))</f>
        <v/>
      </c>
      <c r="C51" s="31">
        <f>IF(A51="","",MAX(0,IF(_xlfn.MAXIFS(Log!$A$2:$A$1001,Log!$B$2:$B$1001,A51,Log!$C$2:$C$1001,"Count")&gt;N(S51),_xlfn.MAXIFS(Log!$D$2:$D$1001,Log!$B$2:$B$1001,A51,Log!$C$2:$C$1001,"Count",Log!$A$2:$A$1001,AA51),N(R51))+SUMIFS(Log!$D$2:$D$1001,Log!$B$2:$B$1001,A51,Log!$C$2:$C$1001,"Received",Log!$A$2:$A$1001,"&gt;"&amp;AA51)-SUMIFS(Log!$D$2:$D$1001,Log!$B$2:$B$1001,A51,Log!$C$2:$C$1001,"Used",Log!$A$2:$A$1001,"&gt;"&amp;AA51)+SUMIFS(Log!$D$2:$D$1001,Log!$B$2:$B$1001,A51,Log!$C$2:$C$1001,"Adjustment",Log!$A$2:$A$1001,"&gt;"&amp;AA51)))</f>
        <v/>
      </c>
      <c r="D51" s="32">
        <f>IF(A51="","",IF(X51&lt;&gt;"",X51,W51))</f>
        <v/>
      </c>
      <c r="E51" s="33">
        <f>IF(OR(A51="",N(O51)=0),"",C51/O51)</f>
        <v/>
      </c>
      <c r="F51" s="31">
        <f>IF(A51="","",MAX(0,N(T51)-SUMIFS(Log!$D$2:$D$1001,Log!$B$2:$B$1001,A51,Log!$C$2:$C$1001,"Received",Log!$A$2:$A$1001,"&gt;="&amp;N(U51))))</f>
        <v/>
      </c>
      <c r="G51" s="24" t="n"/>
      <c r="H51" s="24" t="n"/>
      <c r="I51" s="24" t="n"/>
      <c r="J51" s="24" t="n"/>
      <c r="K51" s="24" t="n"/>
      <c r="L51" s="34" t="n"/>
      <c r="M51" s="24" t="n"/>
      <c r="N51" s="24" t="n"/>
      <c r="O51" s="35" t="n"/>
      <c r="P51" s="25" t="n"/>
      <c r="Q51" s="36">
        <f>IF(A51="","",IF(P51&lt;&gt;"",P51,IFERROR(IF(N(INDEX(Suppliers!$E$5:$E$24,MATCH(H51,Suppliers!$B$5:$B$24,0)))&gt;0,INDEX(Suppliers!$E$5:$E$24,MATCH(H51,Suppliers!$B$5:$B$24,0)),5),5)))</f>
        <v/>
      </c>
      <c r="R51" s="35" t="n"/>
      <c r="S51" s="37" t="n"/>
      <c r="T51" s="25" t="n"/>
      <c r="U51" s="37" t="n"/>
      <c r="V51" s="37" t="n"/>
      <c r="W51" s="36">
        <f>IF(A51="","",ROUNDUP(N(O51)*(Q51/7+Settings!$C$5),0))</f>
        <v/>
      </c>
      <c r="X51" s="25" t="n"/>
      <c r="Y51" s="25" t="n"/>
      <c r="Z51" s="32">
        <f>IF(A51="","",IF(Y51&lt;&gt;"",Y51,MAX(1,ROUNDUP(N(O51)*Settings!$C$7,0))))</f>
        <v/>
      </c>
      <c r="AA51" s="38">
        <f>IF(A51="","",MAX(N(S51),_xlfn.MAXIFS(Log!$A$2:$A$1001,Log!$B$2:$B$1001,A51,Log!$C$2:$C$1001,"Count")))</f>
        <v/>
      </c>
      <c r="AB51" s="39">
        <f>IF(A51="","",Z51*N(L51))</f>
        <v/>
      </c>
      <c r="AC51" s="40">
        <f>IF(A51="","",N(O51)*52*N(L51))</f>
        <v/>
      </c>
      <c r="AD51" s="39">
        <f>IF(A51="","",C51*N(L51))</f>
        <v/>
      </c>
      <c r="AE51" s="41">
        <f>IF(A51="",0,IF(AND(OR(B51="Order now",B51="Critical"),F51=0),1,0))</f>
        <v/>
      </c>
      <c r="AF51" s="41">
        <f>IF(AE51=1,IFERROR(MATCH(H51,Suppliers!$B$5:$B$24,0),99)*1000+ROW(),"")</f>
        <v/>
      </c>
      <c r="AG51" s="41">
        <f>IF(AF51="","",COUNTIF('Stock list'!$AF$2:$AF$301,"&lt;"&amp;AF51)+1)</f>
        <v/>
      </c>
      <c r="AH51" s="41">
        <f>IF(A51="",0,IF(OR(AA51=0,AND(B51="OK",OR(C51&lt;=D51+N(O51)*Settings!$C$6,Settings!$C$10-AA51&gt;Settings!$C$8*7))),1,0))</f>
        <v/>
      </c>
      <c r="AI51" s="41">
        <f>IF(AH51=0,"",IF(AA51=0,"Never counted",IF(C51&lt;=D51+N(O51)*Settings!$C$6,"Near the reorder point","Not counted for "&amp;INT((Settings!$C$10-AA51)/7)&amp;" weeks")))</f>
        <v/>
      </c>
      <c r="AJ51" s="41">
        <f>IF(AH51=1,IFERROR(MATCH(M51,Settings!$G$19:$G$38,0),99)*1000+ROW(),"")</f>
        <v/>
      </c>
      <c r="AK51" s="41">
        <f>IF(AJ51="","",COUNTIF('Stock list'!$AJ$2:$AJ$301,"&lt;"&amp;AJ51)+1)</f>
        <v/>
      </c>
      <c r="AL51" s="41">
        <f>IF(OR(A51="",N(AC51)=0),"",AC51+ROW()/1000000)</f>
        <v/>
      </c>
    </row>
    <row r="52">
      <c r="A52" s="24" t="n"/>
      <c r="B52" s="30">
        <f>IF(A52="","",IF(AA52=0,"No count",IF(AND(N(O52)&gt;0,C52/O52*7&lt;Q52),"Critical",IF(F52&gt;0,"On order",IF(AND(D52&gt;0,C52&lt;=D52),"Order now","OK")))))</f>
        <v/>
      </c>
      <c r="C52" s="31">
        <f>IF(A52="","",MAX(0,IF(_xlfn.MAXIFS(Log!$A$2:$A$1001,Log!$B$2:$B$1001,A52,Log!$C$2:$C$1001,"Count")&gt;N(S52),_xlfn.MAXIFS(Log!$D$2:$D$1001,Log!$B$2:$B$1001,A52,Log!$C$2:$C$1001,"Count",Log!$A$2:$A$1001,AA52),N(R52))+SUMIFS(Log!$D$2:$D$1001,Log!$B$2:$B$1001,A52,Log!$C$2:$C$1001,"Received",Log!$A$2:$A$1001,"&gt;"&amp;AA52)-SUMIFS(Log!$D$2:$D$1001,Log!$B$2:$B$1001,A52,Log!$C$2:$C$1001,"Used",Log!$A$2:$A$1001,"&gt;"&amp;AA52)+SUMIFS(Log!$D$2:$D$1001,Log!$B$2:$B$1001,A52,Log!$C$2:$C$1001,"Adjustment",Log!$A$2:$A$1001,"&gt;"&amp;AA52)))</f>
        <v/>
      </c>
      <c r="D52" s="32">
        <f>IF(A52="","",IF(X52&lt;&gt;"",X52,W52))</f>
        <v/>
      </c>
      <c r="E52" s="33">
        <f>IF(OR(A52="",N(O52)=0),"",C52/O52)</f>
        <v/>
      </c>
      <c r="F52" s="31">
        <f>IF(A52="","",MAX(0,N(T52)-SUMIFS(Log!$D$2:$D$1001,Log!$B$2:$B$1001,A52,Log!$C$2:$C$1001,"Received",Log!$A$2:$A$1001,"&gt;="&amp;N(U52))))</f>
        <v/>
      </c>
      <c r="G52" s="24" t="n"/>
      <c r="H52" s="24" t="n"/>
      <c r="I52" s="24" t="n"/>
      <c r="J52" s="24" t="n"/>
      <c r="K52" s="24" t="n"/>
      <c r="L52" s="34" t="n"/>
      <c r="M52" s="24" t="n"/>
      <c r="N52" s="24" t="n"/>
      <c r="O52" s="35" t="n"/>
      <c r="P52" s="25" t="n"/>
      <c r="Q52" s="36">
        <f>IF(A52="","",IF(P52&lt;&gt;"",P52,IFERROR(IF(N(INDEX(Suppliers!$E$5:$E$24,MATCH(H52,Suppliers!$B$5:$B$24,0)))&gt;0,INDEX(Suppliers!$E$5:$E$24,MATCH(H52,Suppliers!$B$5:$B$24,0)),5),5)))</f>
        <v/>
      </c>
      <c r="R52" s="35" t="n"/>
      <c r="S52" s="37" t="n"/>
      <c r="T52" s="25" t="n"/>
      <c r="U52" s="37" t="n"/>
      <c r="V52" s="37" t="n"/>
      <c r="W52" s="36">
        <f>IF(A52="","",ROUNDUP(N(O52)*(Q52/7+Settings!$C$5),0))</f>
        <v/>
      </c>
      <c r="X52" s="25" t="n"/>
      <c r="Y52" s="25" t="n"/>
      <c r="Z52" s="32">
        <f>IF(A52="","",IF(Y52&lt;&gt;"",Y52,MAX(1,ROUNDUP(N(O52)*Settings!$C$7,0))))</f>
        <v/>
      </c>
      <c r="AA52" s="38">
        <f>IF(A52="","",MAX(N(S52),_xlfn.MAXIFS(Log!$A$2:$A$1001,Log!$B$2:$B$1001,A52,Log!$C$2:$C$1001,"Count")))</f>
        <v/>
      </c>
      <c r="AB52" s="39">
        <f>IF(A52="","",Z52*N(L52))</f>
        <v/>
      </c>
      <c r="AC52" s="40">
        <f>IF(A52="","",N(O52)*52*N(L52))</f>
        <v/>
      </c>
      <c r="AD52" s="39">
        <f>IF(A52="","",C52*N(L52))</f>
        <v/>
      </c>
      <c r="AE52" s="41">
        <f>IF(A52="",0,IF(AND(OR(B52="Order now",B52="Critical"),F52=0),1,0))</f>
        <v/>
      </c>
      <c r="AF52" s="41">
        <f>IF(AE52=1,IFERROR(MATCH(H52,Suppliers!$B$5:$B$24,0),99)*1000+ROW(),"")</f>
        <v/>
      </c>
      <c r="AG52" s="41">
        <f>IF(AF52="","",COUNTIF('Stock list'!$AF$2:$AF$301,"&lt;"&amp;AF52)+1)</f>
        <v/>
      </c>
      <c r="AH52" s="41">
        <f>IF(A52="",0,IF(OR(AA52=0,AND(B52="OK",OR(C52&lt;=D52+N(O52)*Settings!$C$6,Settings!$C$10-AA52&gt;Settings!$C$8*7))),1,0))</f>
        <v/>
      </c>
      <c r="AI52" s="41">
        <f>IF(AH52=0,"",IF(AA52=0,"Never counted",IF(C52&lt;=D52+N(O52)*Settings!$C$6,"Near the reorder point","Not counted for "&amp;INT((Settings!$C$10-AA52)/7)&amp;" weeks")))</f>
        <v/>
      </c>
      <c r="AJ52" s="41">
        <f>IF(AH52=1,IFERROR(MATCH(M52,Settings!$G$19:$G$38,0),99)*1000+ROW(),"")</f>
        <v/>
      </c>
      <c r="AK52" s="41">
        <f>IF(AJ52="","",COUNTIF('Stock list'!$AJ$2:$AJ$301,"&lt;"&amp;AJ52)+1)</f>
        <v/>
      </c>
      <c r="AL52" s="41">
        <f>IF(OR(A52="",N(AC52)=0),"",AC52+ROW()/1000000)</f>
        <v/>
      </c>
    </row>
    <row r="53">
      <c r="A53" s="24" t="n"/>
      <c r="B53" s="30">
        <f>IF(A53="","",IF(AA53=0,"No count",IF(AND(N(O53)&gt;0,C53/O53*7&lt;Q53),"Critical",IF(F53&gt;0,"On order",IF(AND(D53&gt;0,C53&lt;=D53),"Order now","OK")))))</f>
        <v/>
      </c>
      <c r="C53" s="31">
        <f>IF(A53="","",MAX(0,IF(_xlfn.MAXIFS(Log!$A$2:$A$1001,Log!$B$2:$B$1001,A53,Log!$C$2:$C$1001,"Count")&gt;N(S53),_xlfn.MAXIFS(Log!$D$2:$D$1001,Log!$B$2:$B$1001,A53,Log!$C$2:$C$1001,"Count",Log!$A$2:$A$1001,AA53),N(R53))+SUMIFS(Log!$D$2:$D$1001,Log!$B$2:$B$1001,A53,Log!$C$2:$C$1001,"Received",Log!$A$2:$A$1001,"&gt;"&amp;AA53)-SUMIFS(Log!$D$2:$D$1001,Log!$B$2:$B$1001,A53,Log!$C$2:$C$1001,"Used",Log!$A$2:$A$1001,"&gt;"&amp;AA53)+SUMIFS(Log!$D$2:$D$1001,Log!$B$2:$B$1001,A53,Log!$C$2:$C$1001,"Adjustment",Log!$A$2:$A$1001,"&gt;"&amp;AA53)))</f>
        <v/>
      </c>
      <c r="D53" s="32">
        <f>IF(A53="","",IF(X53&lt;&gt;"",X53,W53))</f>
        <v/>
      </c>
      <c r="E53" s="33">
        <f>IF(OR(A53="",N(O53)=0),"",C53/O53)</f>
        <v/>
      </c>
      <c r="F53" s="31">
        <f>IF(A53="","",MAX(0,N(T53)-SUMIFS(Log!$D$2:$D$1001,Log!$B$2:$B$1001,A53,Log!$C$2:$C$1001,"Received",Log!$A$2:$A$1001,"&gt;="&amp;N(U53))))</f>
        <v/>
      </c>
      <c r="G53" s="24" t="n"/>
      <c r="H53" s="24" t="n"/>
      <c r="I53" s="24" t="n"/>
      <c r="J53" s="24" t="n"/>
      <c r="K53" s="24" t="n"/>
      <c r="L53" s="34" t="n"/>
      <c r="M53" s="24" t="n"/>
      <c r="N53" s="24" t="n"/>
      <c r="O53" s="35" t="n"/>
      <c r="P53" s="25" t="n"/>
      <c r="Q53" s="36">
        <f>IF(A53="","",IF(P53&lt;&gt;"",P53,IFERROR(IF(N(INDEX(Suppliers!$E$5:$E$24,MATCH(H53,Suppliers!$B$5:$B$24,0)))&gt;0,INDEX(Suppliers!$E$5:$E$24,MATCH(H53,Suppliers!$B$5:$B$24,0)),5),5)))</f>
        <v/>
      </c>
      <c r="R53" s="35" t="n"/>
      <c r="S53" s="37" t="n"/>
      <c r="T53" s="25" t="n"/>
      <c r="U53" s="37" t="n"/>
      <c r="V53" s="37" t="n"/>
      <c r="W53" s="36">
        <f>IF(A53="","",ROUNDUP(N(O53)*(Q53/7+Settings!$C$5),0))</f>
        <v/>
      </c>
      <c r="X53" s="25" t="n"/>
      <c r="Y53" s="25" t="n"/>
      <c r="Z53" s="32">
        <f>IF(A53="","",IF(Y53&lt;&gt;"",Y53,MAX(1,ROUNDUP(N(O53)*Settings!$C$7,0))))</f>
        <v/>
      </c>
      <c r="AA53" s="38">
        <f>IF(A53="","",MAX(N(S53),_xlfn.MAXIFS(Log!$A$2:$A$1001,Log!$B$2:$B$1001,A53,Log!$C$2:$C$1001,"Count")))</f>
        <v/>
      </c>
      <c r="AB53" s="39">
        <f>IF(A53="","",Z53*N(L53))</f>
        <v/>
      </c>
      <c r="AC53" s="40">
        <f>IF(A53="","",N(O53)*52*N(L53))</f>
        <v/>
      </c>
      <c r="AD53" s="39">
        <f>IF(A53="","",C53*N(L53))</f>
        <v/>
      </c>
      <c r="AE53" s="41">
        <f>IF(A53="",0,IF(AND(OR(B53="Order now",B53="Critical"),F53=0),1,0))</f>
        <v/>
      </c>
      <c r="AF53" s="41">
        <f>IF(AE53=1,IFERROR(MATCH(H53,Suppliers!$B$5:$B$24,0),99)*1000+ROW(),"")</f>
        <v/>
      </c>
      <c r="AG53" s="41">
        <f>IF(AF53="","",COUNTIF('Stock list'!$AF$2:$AF$301,"&lt;"&amp;AF53)+1)</f>
        <v/>
      </c>
      <c r="AH53" s="41">
        <f>IF(A53="",0,IF(OR(AA53=0,AND(B53="OK",OR(C53&lt;=D53+N(O53)*Settings!$C$6,Settings!$C$10-AA53&gt;Settings!$C$8*7))),1,0))</f>
        <v/>
      </c>
      <c r="AI53" s="41">
        <f>IF(AH53=0,"",IF(AA53=0,"Never counted",IF(C53&lt;=D53+N(O53)*Settings!$C$6,"Near the reorder point","Not counted for "&amp;INT((Settings!$C$10-AA53)/7)&amp;" weeks")))</f>
        <v/>
      </c>
      <c r="AJ53" s="41">
        <f>IF(AH53=1,IFERROR(MATCH(M53,Settings!$G$19:$G$38,0),99)*1000+ROW(),"")</f>
        <v/>
      </c>
      <c r="AK53" s="41">
        <f>IF(AJ53="","",COUNTIF('Stock list'!$AJ$2:$AJ$301,"&lt;"&amp;AJ53)+1)</f>
        <v/>
      </c>
      <c r="AL53" s="41">
        <f>IF(OR(A53="",N(AC53)=0),"",AC53+ROW()/1000000)</f>
        <v/>
      </c>
    </row>
    <row r="54">
      <c r="A54" s="24" t="n"/>
      <c r="B54" s="30">
        <f>IF(A54="","",IF(AA54=0,"No count",IF(AND(N(O54)&gt;0,C54/O54*7&lt;Q54),"Critical",IF(F54&gt;0,"On order",IF(AND(D54&gt;0,C54&lt;=D54),"Order now","OK")))))</f>
        <v/>
      </c>
      <c r="C54" s="31">
        <f>IF(A54="","",MAX(0,IF(_xlfn.MAXIFS(Log!$A$2:$A$1001,Log!$B$2:$B$1001,A54,Log!$C$2:$C$1001,"Count")&gt;N(S54),_xlfn.MAXIFS(Log!$D$2:$D$1001,Log!$B$2:$B$1001,A54,Log!$C$2:$C$1001,"Count",Log!$A$2:$A$1001,AA54),N(R54))+SUMIFS(Log!$D$2:$D$1001,Log!$B$2:$B$1001,A54,Log!$C$2:$C$1001,"Received",Log!$A$2:$A$1001,"&gt;"&amp;AA54)-SUMIFS(Log!$D$2:$D$1001,Log!$B$2:$B$1001,A54,Log!$C$2:$C$1001,"Used",Log!$A$2:$A$1001,"&gt;"&amp;AA54)+SUMIFS(Log!$D$2:$D$1001,Log!$B$2:$B$1001,A54,Log!$C$2:$C$1001,"Adjustment",Log!$A$2:$A$1001,"&gt;"&amp;AA54)))</f>
        <v/>
      </c>
      <c r="D54" s="32">
        <f>IF(A54="","",IF(X54&lt;&gt;"",X54,W54))</f>
        <v/>
      </c>
      <c r="E54" s="33">
        <f>IF(OR(A54="",N(O54)=0),"",C54/O54)</f>
        <v/>
      </c>
      <c r="F54" s="31">
        <f>IF(A54="","",MAX(0,N(T54)-SUMIFS(Log!$D$2:$D$1001,Log!$B$2:$B$1001,A54,Log!$C$2:$C$1001,"Received",Log!$A$2:$A$1001,"&gt;="&amp;N(U54))))</f>
        <v/>
      </c>
      <c r="G54" s="24" t="n"/>
      <c r="H54" s="24" t="n"/>
      <c r="I54" s="24" t="n"/>
      <c r="J54" s="24" t="n"/>
      <c r="K54" s="24" t="n"/>
      <c r="L54" s="34" t="n"/>
      <c r="M54" s="24" t="n"/>
      <c r="N54" s="24" t="n"/>
      <c r="O54" s="35" t="n"/>
      <c r="P54" s="25" t="n"/>
      <c r="Q54" s="36">
        <f>IF(A54="","",IF(P54&lt;&gt;"",P54,IFERROR(IF(N(INDEX(Suppliers!$E$5:$E$24,MATCH(H54,Suppliers!$B$5:$B$24,0)))&gt;0,INDEX(Suppliers!$E$5:$E$24,MATCH(H54,Suppliers!$B$5:$B$24,0)),5),5)))</f>
        <v/>
      </c>
      <c r="R54" s="35" t="n"/>
      <c r="S54" s="37" t="n"/>
      <c r="T54" s="25" t="n"/>
      <c r="U54" s="37" t="n"/>
      <c r="V54" s="37" t="n"/>
      <c r="W54" s="36">
        <f>IF(A54="","",ROUNDUP(N(O54)*(Q54/7+Settings!$C$5),0))</f>
        <v/>
      </c>
      <c r="X54" s="25" t="n"/>
      <c r="Y54" s="25" t="n"/>
      <c r="Z54" s="32">
        <f>IF(A54="","",IF(Y54&lt;&gt;"",Y54,MAX(1,ROUNDUP(N(O54)*Settings!$C$7,0))))</f>
        <v/>
      </c>
      <c r="AA54" s="38">
        <f>IF(A54="","",MAX(N(S54),_xlfn.MAXIFS(Log!$A$2:$A$1001,Log!$B$2:$B$1001,A54,Log!$C$2:$C$1001,"Count")))</f>
        <v/>
      </c>
      <c r="AB54" s="39">
        <f>IF(A54="","",Z54*N(L54))</f>
        <v/>
      </c>
      <c r="AC54" s="40">
        <f>IF(A54="","",N(O54)*52*N(L54))</f>
        <v/>
      </c>
      <c r="AD54" s="39">
        <f>IF(A54="","",C54*N(L54))</f>
        <v/>
      </c>
      <c r="AE54" s="41">
        <f>IF(A54="",0,IF(AND(OR(B54="Order now",B54="Critical"),F54=0),1,0))</f>
        <v/>
      </c>
      <c r="AF54" s="41">
        <f>IF(AE54=1,IFERROR(MATCH(H54,Suppliers!$B$5:$B$24,0),99)*1000+ROW(),"")</f>
        <v/>
      </c>
      <c r="AG54" s="41">
        <f>IF(AF54="","",COUNTIF('Stock list'!$AF$2:$AF$301,"&lt;"&amp;AF54)+1)</f>
        <v/>
      </c>
      <c r="AH54" s="41">
        <f>IF(A54="",0,IF(OR(AA54=0,AND(B54="OK",OR(C54&lt;=D54+N(O54)*Settings!$C$6,Settings!$C$10-AA54&gt;Settings!$C$8*7))),1,0))</f>
        <v/>
      </c>
      <c r="AI54" s="41">
        <f>IF(AH54=0,"",IF(AA54=0,"Never counted",IF(C54&lt;=D54+N(O54)*Settings!$C$6,"Near the reorder point","Not counted for "&amp;INT((Settings!$C$10-AA54)/7)&amp;" weeks")))</f>
        <v/>
      </c>
      <c r="AJ54" s="41">
        <f>IF(AH54=1,IFERROR(MATCH(M54,Settings!$G$19:$G$38,0),99)*1000+ROW(),"")</f>
        <v/>
      </c>
      <c r="AK54" s="41">
        <f>IF(AJ54="","",COUNTIF('Stock list'!$AJ$2:$AJ$301,"&lt;"&amp;AJ54)+1)</f>
        <v/>
      </c>
      <c r="AL54" s="41">
        <f>IF(OR(A54="",N(AC54)=0),"",AC54+ROW()/1000000)</f>
        <v/>
      </c>
    </row>
    <row r="55">
      <c r="A55" s="24" t="n"/>
      <c r="B55" s="30">
        <f>IF(A55="","",IF(AA55=0,"No count",IF(AND(N(O55)&gt;0,C55/O55*7&lt;Q55),"Critical",IF(F55&gt;0,"On order",IF(AND(D55&gt;0,C55&lt;=D55),"Order now","OK")))))</f>
        <v/>
      </c>
      <c r="C55" s="31">
        <f>IF(A55="","",MAX(0,IF(_xlfn.MAXIFS(Log!$A$2:$A$1001,Log!$B$2:$B$1001,A55,Log!$C$2:$C$1001,"Count")&gt;N(S55),_xlfn.MAXIFS(Log!$D$2:$D$1001,Log!$B$2:$B$1001,A55,Log!$C$2:$C$1001,"Count",Log!$A$2:$A$1001,AA55),N(R55))+SUMIFS(Log!$D$2:$D$1001,Log!$B$2:$B$1001,A55,Log!$C$2:$C$1001,"Received",Log!$A$2:$A$1001,"&gt;"&amp;AA55)-SUMIFS(Log!$D$2:$D$1001,Log!$B$2:$B$1001,A55,Log!$C$2:$C$1001,"Used",Log!$A$2:$A$1001,"&gt;"&amp;AA55)+SUMIFS(Log!$D$2:$D$1001,Log!$B$2:$B$1001,A55,Log!$C$2:$C$1001,"Adjustment",Log!$A$2:$A$1001,"&gt;"&amp;AA55)))</f>
        <v/>
      </c>
      <c r="D55" s="32">
        <f>IF(A55="","",IF(X55&lt;&gt;"",X55,W55))</f>
        <v/>
      </c>
      <c r="E55" s="33">
        <f>IF(OR(A55="",N(O55)=0),"",C55/O55)</f>
        <v/>
      </c>
      <c r="F55" s="31">
        <f>IF(A55="","",MAX(0,N(T55)-SUMIFS(Log!$D$2:$D$1001,Log!$B$2:$B$1001,A55,Log!$C$2:$C$1001,"Received",Log!$A$2:$A$1001,"&gt;="&amp;N(U55))))</f>
        <v/>
      </c>
      <c r="G55" s="24" t="n"/>
      <c r="H55" s="24" t="n"/>
      <c r="I55" s="24" t="n"/>
      <c r="J55" s="24" t="n"/>
      <c r="K55" s="24" t="n"/>
      <c r="L55" s="34" t="n"/>
      <c r="M55" s="24" t="n"/>
      <c r="N55" s="24" t="n"/>
      <c r="O55" s="35" t="n"/>
      <c r="P55" s="25" t="n"/>
      <c r="Q55" s="36">
        <f>IF(A55="","",IF(P55&lt;&gt;"",P55,IFERROR(IF(N(INDEX(Suppliers!$E$5:$E$24,MATCH(H55,Suppliers!$B$5:$B$24,0)))&gt;0,INDEX(Suppliers!$E$5:$E$24,MATCH(H55,Suppliers!$B$5:$B$24,0)),5),5)))</f>
        <v/>
      </c>
      <c r="R55" s="35" t="n"/>
      <c r="S55" s="37" t="n"/>
      <c r="T55" s="25" t="n"/>
      <c r="U55" s="37" t="n"/>
      <c r="V55" s="37" t="n"/>
      <c r="W55" s="36">
        <f>IF(A55="","",ROUNDUP(N(O55)*(Q55/7+Settings!$C$5),0))</f>
        <v/>
      </c>
      <c r="X55" s="25" t="n"/>
      <c r="Y55" s="25" t="n"/>
      <c r="Z55" s="32">
        <f>IF(A55="","",IF(Y55&lt;&gt;"",Y55,MAX(1,ROUNDUP(N(O55)*Settings!$C$7,0))))</f>
        <v/>
      </c>
      <c r="AA55" s="38">
        <f>IF(A55="","",MAX(N(S55),_xlfn.MAXIFS(Log!$A$2:$A$1001,Log!$B$2:$B$1001,A55,Log!$C$2:$C$1001,"Count")))</f>
        <v/>
      </c>
      <c r="AB55" s="39">
        <f>IF(A55="","",Z55*N(L55))</f>
        <v/>
      </c>
      <c r="AC55" s="40">
        <f>IF(A55="","",N(O55)*52*N(L55))</f>
        <v/>
      </c>
      <c r="AD55" s="39">
        <f>IF(A55="","",C55*N(L55))</f>
        <v/>
      </c>
      <c r="AE55" s="41">
        <f>IF(A55="",0,IF(AND(OR(B55="Order now",B55="Critical"),F55=0),1,0))</f>
        <v/>
      </c>
      <c r="AF55" s="41">
        <f>IF(AE55=1,IFERROR(MATCH(H55,Suppliers!$B$5:$B$24,0),99)*1000+ROW(),"")</f>
        <v/>
      </c>
      <c r="AG55" s="41">
        <f>IF(AF55="","",COUNTIF('Stock list'!$AF$2:$AF$301,"&lt;"&amp;AF55)+1)</f>
        <v/>
      </c>
      <c r="AH55" s="41">
        <f>IF(A55="",0,IF(OR(AA55=0,AND(B55="OK",OR(C55&lt;=D55+N(O55)*Settings!$C$6,Settings!$C$10-AA55&gt;Settings!$C$8*7))),1,0))</f>
        <v/>
      </c>
      <c r="AI55" s="41">
        <f>IF(AH55=0,"",IF(AA55=0,"Never counted",IF(C55&lt;=D55+N(O55)*Settings!$C$6,"Near the reorder point","Not counted for "&amp;INT((Settings!$C$10-AA55)/7)&amp;" weeks")))</f>
        <v/>
      </c>
      <c r="AJ55" s="41">
        <f>IF(AH55=1,IFERROR(MATCH(M55,Settings!$G$19:$G$38,0),99)*1000+ROW(),"")</f>
        <v/>
      </c>
      <c r="AK55" s="41">
        <f>IF(AJ55="","",COUNTIF('Stock list'!$AJ$2:$AJ$301,"&lt;"&amp;AJ55)+1)</f>
        <v/>
      </c>
      <c r="AL55" s="41">
        <f>IF(OR(A55="",N(AC55)=0),"",AC55+ROW()/1000000)</f>
        <v/>
      </c>
    </row>
    <row r="56">
      <c r="A56" s="24" t="n"/>
      <c r="B56" s="30">
        <f>IF(A56="","",IF(AA56=0,"No count",IF(AND(N(O56)&gt;0,C56/O56*7&lt;Q56),"Critical",IF(F56&gt;0,"On order",IF(AND(D56&gt;0,C56&lt;=D56),"Order now","OK")))))</f>
        <v/>
      </c>
      <c r="C56" s="31">
        <f>IF(A56="","",MAX(0,IF(_xlfn.MAXIFS(Log!$A$2:$A$1001,Log!$B$2:$B$1001,A56,Log!$C$2:$C$1001,"Count")&gt;N(S56),_xlfn.MAXIFS(Log!$D$2:$D$1001,Log!$B$2:$B$1001,A56,Log!$C$2:$C$1001,"Count",Log!$A$2:$A$1001,AA56),N(R56))+SUMIFS(Log!$D$2:$D$1001,Log!$B$2:$B$1001,A56,Log!$C$2:$C$1001,"Received",Log!$A$2:$A$1001,"&gt;"&amp;AA56)-SUMIFS(Log!$D$2:$D$1001,Log!$B$2:$B$1001,A56,Log!$C$2:$C$1001,"Used",Log!$A$2:$A$1001,"&gt;"&amp;AA56)+SUMIFS(Log!$D$2:$D$1001,Log!$B$2:$B$1001,A56,Log!$C$2:$C$1001,"Adjustment",Log!$A$2:$A$1001,"&gt;"&amp;AA56)))</f>
        <v/>
      </c>
      <c r="D56" s="32">
        <f>IF(A56="","",IF(X56&lt;&gt;"",X56,W56))</f>
        <v/>
      </c>
      <c r="E56" s="33">
        <f>IF(OR(A56="",N(O56)=0),"",C56/O56)</f>
        <v/>
      </c>
      <c r="F56" s="31">
        <f>IF(A56="","",MAX(0,N(T56)-SUMIFS(Log!$D$2:$D$1001,Log!$B$2:$B$1001,A56,Log!$C$2:$C$1001,"Received",Log!$A$2:$A$1001,"&gt;="&amp;N(U56))))</f>
        <v/>
      </c>
      <c r="G56" s="24" t="n"/>
      <c r="H56" s="24" t="n"/>
      <c r="I56" s="24" t="n"/>
      <c r="J56" s="24" t="n"/>
      <c r="K56" s="24" t="n"/>
      <c r="L56" s="34" t="n"/>
      <c r="M56" s="24" t="n"/>
      <c r="N56" s="24" t="n"/>
      <c r="O56" s="35" t="n"/>
      <c r="P56" s="25" t="n"/>
      <c r="Q56" s="36">
        <f>IF(A56="","",IF(P56&lt;&gt;"",P56,IFERROR(IF(N(INDEX(Suppliers!$E$5:$E$24,MATCH(H56,Suppliers!$B$5:$B$24,0)))&gt;0,INDEX(Suppliers!$E$5:$E$24,MATCH(H56,Suppliers!$B$5:$B$24,0)),5),5)))</f>
        <v/>
      </c>
      <c r="R56" s="35" t="n"/>
      <c r="S56" s="37" t="n"/>
      <c r="T56" s="25" t="n"/>
      <c r="U56" s="37" t="n"/>
      <c r="V56" s="37" t="n"/>
      <c r="W56" s="36">
        <f>IF(A56="","",ROUNDUP(N(O56)*(Q56/7+Settings!$C$5),0))</f>
        <v/>
      </c>
      <c r="X56" s="25" t="n"/>
      <c r="Y56" s="25" t="n"/>
      <c r="Z56" s="32">
        <f>IF(A56="","",IF(Y56&lt;&gt;"",Y56,MAX(1,ROUNDUP(N(O56)*Settings!$C$7,0))))</f>
        <v/>
      </c>
      <c r="AA56" s="38">
        <f>IF(A56="","",MAX(N(S56),_xlfn.MAXIFS(Log!$A$2:$A$1001,Log!$B$2:$B$1001,A56,Log!$C$2:$C$1001,"Count")))</f>
        <v/>
      </c>
      <c r="AB56" s="39">
        <f>IF(A56="","",Z56*N(L56))</f>
        <v/>
      </c>
      <c r="AC56" s="40">
        <f>IF(A56="","",N(O56)*52*N(L56))</f>
        <v/>
      </c>
      <c r="AD56" s="39">
        <f>IF(A56="","",C56*N(L56))</f>
        <v/>
      </c>
      <c r="AE56" s="41">
        <f>IF(A56="",0,IF(AND(OR(B56="Order now",B56="Critical"),F56=0),1,0))</f>
        <v/>
      </c>
      <c r="AF56" s="41">
        <f>IF(AE56=1,IFERROR(MATCH(H56,Suppliers!$B$5:$B$24,0),99)*1000+ROW(),"")</f>
        <v/>
      </c>
      <c r="AG56" s="41">
        <f>IF(AF56="","",COUNTIF('Stock list'!$AF$2:$AF$301,"&lt;"&amp;AF56)+1)</f>
        <v/>
      </c>
      <c r="AH56" s="41">
        <f>IF(A56="",0,IF(OR(AA56=0,AND(B56="OK",OR(C56&lt;=D56+N(O56)*Settings!$C$6,Settings!$C$10-AA56&gt;Settings!$C$8*7))),1,0))</f>
        <v/>
      </c>
      <c r="AI56" s="41">
        <f>IF(AH56=0,"",IF(AA56=0,"Never counted",IF(C56&lt;=D56+N(O56)*Settings!$C$6,"Near the reorder point","Not counted for "&amp;INT((Settings!$C$10-AA56)/7)&amp;" weeks")))</f>
        <v/>
      </c>
      <c r="AJ56" s="41">
        <f>IF(AH56=1,IFERROR(MATCH(M56,Settings!$G$19:$G$38,0),99)*1000+ROW(),"")</f>
        <v/>
      </c>
      <c r="AK56" s="41">
        <f>IF(AJ56="","",COUNTIF('Stock list'!$AJ$2:$AJ$301,"&lt;"&amp;AJ56)+1)</f>
        <v/>
      </c>
      <c r="AL56" s="41">
        <f>IF(OR(A56="",N(AC56)=0),"",AC56+ROW()/1000000)</f>
        <v/>
      </c>
    </row>
    <row r="57">
      <c r="A57" s="24" t="n"/>
      <c r="B57" s="30">
        <f>IF(A57="","",IF(AA57=0,"No count",IF(AND(N(O57)&gt;0,C57/O57*7&lt;Q57),"Critical",IF(F57&gt;0,"On order",IF(AND(D57&gt;0,C57&lt;=D57),"Order now","OK")))))</f>
        <v/>
      </c>
      <c r="C57" s="31">
        <f>IF(A57="","",MAX(0,IF(_xlfn.MAXIFS(Log!$A$2:$A$1001,Log!$B$2:$B$1001,A57,Log!$C$2:$C$1001,"Count")&gt;N(S57),_xlfn.MAXIFS(Log!$D$2:$D$1001,Log!$B$2:$B$1001,A57,Log!$C$2:$C$1001,"Count",Log!$A$2:$A$1001,AA57),N(R57))+SUMIFS(Log!$D$2:$D$1001,Log!$B$2:$B$1001,A57,Log!$C$2:$C$1001,"Received",Log!$A$2:$A$1001,"&gt;"&amp;AA57)-SUMIFS(Log!$D$2:$D$1001,Log!$B$2:$B$1001,A57,Log!$C$2:$C$1001,"Used",Log!$A$2:$A$1001,"&gt;"&amp;AA57)+SUMIFS(Log!$D$2:$D$1001,Log!$B$2:$B$1001,A57,Log!$C$2:$C$1001,"Adjustment",Log!$A$2:$A$1001,"&gt;"&amp;AA57)))</f>
        <v/>
      </c>
      <c r="D57" s="32">
        <f>IF(A57="","",IF(X57&lt;&gt;"",X57,W57))</f>
        <v/>
      </c>
      <c r="E57" s="33">
        <f>IF(OR(A57="",N(O57)=0),"",C57/O57)</f>
        <v/>
      </c>
      <c r="F57" s="31">
        <f>IF(A57="","",MAX(0,N(T57)-SUMIFS(Log!$D$2:$D$1001,Log!$B$2:$B$1001,A57,Log!$C$2:$C$1001,"Received",Log!$A$2:$A$1001,"&gt;="&amp;N(U57))))</f>
        <v/>
      </c>
      <c r="G57" s="24" t="n"/>
      <c r="H57" s="24" t="n"/>
      <c r="I57" s="24" t="n"/>
      <c r="J57" s="24" t="n"/>
      <c r="K57" s="24" t="n"/>
      <c r="L57" s="34" t="n"/>
      <c r="M57" s="24" t="n"/>
      <c r="N57" s="24" t="n"/>
      <c r="O57" s="35" t="n"/>
      <c r="P57" s="25" t="n"/>
      <c r="Q57" s="36">
        <f>IF(A57="","",IF(P57&lt;&gt;"",P57,IFERROR(IF(N(INDEX(Suppliers!$E$5:$E$24,MATCH(H57,Suppliers!$B$5:$B$24,0)))&gt;0,INDEX(Suppliers!$E$5:$E$24,MATCH(H57,Suppliers!$B$5:$B$24,0)),5),5)))</f>
        <v/>
      </c>
      <c r="R57" s="35" t="n"/>
      <c r="S57" s="37" t="n"/>
      <c r="T57" s="25" t="n"/>
      <c r="U57" s="37" t="n"/>
      <c r="V57" s="37" t="n"/>
      <c r="W57" s="36">
        <f>IF(A57="","",ROUNDUP(N(O57)*(Q57/7+Settings!$C$5),0))</f>
        <v/>
      </c>
      <c r="X57" s="25" t="n"/>
      <c r="Y57" s="25" t="n"/>
      <c r="Z57" s="32">
        <f>IF(A57="","",IF(Y57&lt;&gt;"",Y57,MAX(1,ROUNDUP(N(O57)*Settings!$C$7,0))))</f>
        <v/>
      </c>
      <c r="AA57" s="38">
        <f>IF(A57="","",MAX(N(S57),_xlfn.MAXIFS(Log!$A$2:$A$1001,Log!$B$2:$B$1001,A57,Log!$C$2:$C$1001,"Count")))</f>
        <v/>
      </c>
      <c r="AB57" s="39">
        <f>IF(A57="","",Z57*N(L57))</f>
        <v/>
      </c>
      <c r="AC57" s="40">
        <f>IF(A57="","",N(O57)*52*N(L57))</f>
        <v/>
      </c>
      <c r="AD57" s="39">
        <f>IF(A57="","",C57*N(L57))</f>
        <v/>
      </c>
      <c r="AE57" s="41">
        <f>IF(A57="",0,IF(AND(OR(B57="Order now",B57="Critical"),F57=0),1,0))</f>
        <v/>
      </c>
      <c r="AF57" s="41">
        <f>IF(AE57=1,IFERROR(MATCH(H57,Suppliers!$B$5:$B$24,0),99)*1000+ROW(),"")</f>
        <v/>
      </c>
      <c r="AG57" s="41">
        <f>IF(AF57="","",COUNTIF('Stock list'!$AF$2:$AF$301,"&lt;"&amp;AF57)+1)</f>
        <v/>
      </c>
      <c r="AH57" s="41">
        <f>IF(A57="",0,IF(OR(AA57=0,AND(B57="OK",OR(C57&lt;=D57+N(O57)*Settings!$C$6,Settings!$C$10-AA57&gt;Settings!$C$8*7))),1,0))</f>
        <v/>
      </c>
      <c r="AI57" s="41">
        <f>IF(AH57=0,"",IF(AA57=0,"Never counted",IF(C57&lt;=D57+N(O57)*Settings!$C$6,"Near the reorder point","Not counted for "&amp;INT((Settings!$C$10-AA57)/7)&amp;" weeks")))</f>
        <v/>
      </c>
      <c r="AJ57" s="41">
        <f>IF(AH57=1,IFERROR(MATCH(M57,Settings!$G$19:$G$38,0),99)*1000+ROW(),"")</f>
        <v/>
      </c>
      <c r="AK57" s="41">
        <f>IF(AJ57="","",COUNTIF('Stock list'!$AJ$2:$AJ$301,"&lt;"&amp;AJ57)+1)</f>
        <v/>
      </c>
      <c r="AL57" s="41">
        <f>IF(OR(A57="",N(AC57)=0),"",AC57+ROW()/1000000)</f>
        <v/>
      </c>
    </row>
    <row r="58">
      <c r="A58" s="24" t="n"/>
      <c r="B58" s="30">
        <f>IF(A58="","",IF(AA58=0,"No count",IF(AND(N(O58)&gt;0,C58/O58*7&lt;Q58),"Critical",IF(F58&gt;0,"On order",IF(AND(D58&gt;0,C58&lt;=D58),"Order now","OK")))))</f>
        <v/>
      </c>
      <c r="C58" s="31">
        <f>IF(A58="","",MAX(0,IF(_xlfn.MAXIFS(Log!$A$2:$A$1001,Log!$B$2:$B$1001,A58,Log!$C$2:$C$1001,"Count")&gt;N(S58),_xlfn.MAXIFS(Log!$D$2:$D$1001,Log!$B$2:$B$1001,A58,Log!$C$2:$C$1001,"Count",Log!$A$2:$A$1001,AA58),N(R58))+SUMIFS(Log!$D$2:$D$1001,Log!$B$2:$B$1001,A58,Log!$C$2:$C$1001,"Received",Log!$A$2:$A$1001,"&gt;"&amp;AA58)-SUMIFS(Log!$D$2:$D$1001,Log!$B$2:$B$1001,A58,Log!$C$2:$C$1001,"Used",Log!$A$2:$A$1001,"&gt;"&amp;AA58)+SUMIFS(Log!$D$2:$D$1001,Log!$B$2:$B$1001,A58,Log!$C$2:$C$1001,"Adjustment",Log!$A$2:$A$1001,"&gt;"&amp;AA58)))</f>
        <v/>
      </c>
      <c r="D58" s="32">
        <f>IF(A58="","",IF(X58&lt;&gt;"",X58,W58))</f>
        <v/>
      </c>
      <c r="E58" s="33">
        <f>IF(OR(A58="",N(O58)=0),"",C58/O58)</f>
        <v/>
      </c>
      <c r="F58" s="31">
        <f>IF(A58="","",MAX(0,N(T58)-SUMIFS(Log!$D$2:$D$1001,Log!$B$2:$B$1001,A58,Log!$C$2:$C$1001,"Received",Log!$A$2:$A$1001,"&gt;="&amp;N(U58))))</f>
        <v/>
      </c>
      <c r="G58" s="24" t="n"/>
      <c r="H58" s="24" t="n"/>
      <c r="I58" s="24" t="n"/>
      <c r="J58" s="24" t="n"/>
      <c r="K58" s="24" t="n"/>
      <c r="L58" s="34" t="n"/>
      <c r="M58" s="24" t="n"/>
      <c r="N58" s="24" t="n"/>
      <c r="O58" s="35" t="n"/>
      <c r="P58" s="25" t="n"/>
      <c r="Q58" s="36">
        <f>IF(A58="","",IF(P58&lt;&gt;"",P58,IFERROR(IF(N(INDEX(Suppliers!$E$5:$E$24,MATCH(H58,Suppliers!$B$5:$B$24,0)))&gt;0,INDEX(Suppliers!$E$5:$E$24,MATCH(H58,Suppliers!$B$5:$B$24,0)),5),5)))</f>
        <v/>
      </c>
      <c r="R58" s="35" t="n"/>
      <c r="S58" s="37" t="n"/>
      <c r="T58" s="25" t="n"/>
      <c r="U58" s="37" t="n"/>
      <c r="V58" s="37" t="n"/>
      <c r="W58" s="36">
        <f>IF(A58="","",ROUNDUP(N(O58)*(Q58/7+Settings!$C$5),0))</f>
        <v/>
      </c>
      <c r="X58" s="25" t="n"/>
      <c r="Y58" s="25" t="n"/>
      <c r="Z58" s="32">
        <f>IF(A58="","",IF(Y58&lt;&gt;"",Y58,MAX(1,ROUNDUP(N(O58)*Settings!$C$7,0))))</f>
        <v/>
      </c>
      <c r="AA58" s="38">
        <f>IF(A58="","",MAX(N(S58),_xlfn.MAXIFS(Log!$A$2:$A$1001,Log!$B$2:$B$1001,A58,Log!$C$2:$C$1001,"Count")))</f>
        <v/>
      </c>
      <c r="AB58" s="39">
        <f>IF(A58="","",Z58*N(L58))</f>
        <v/>
      </c>
      <c r="AC58" s="40">
        <f>IF(A58="","",N(O58)*52*N(L58))</f>
        <v/>
      </c>
      <c r="AD58" s="39">
        <f>IF(A58="","",C58*N(L58))</f>
        <v/>
      </c>
      <c r="AE58" s="41">
        <f>IF(A58="",0,IF(AND(OR(B58="Order now",B58="Critical"),F58=0),1,0))</f>
        <v/>
      </c>
      <c r="AF58" s="41">
        <f>IF(AE58=1,IFERROR(MATCH(H58,Suppliers!$B$5:$B$24,0),99)*1000+ROW(),"")</f>
        <v/>
      </c>
      <c r="AG58" s="41">
        <f>IF(AF58="","",COUNTIF('Stock list'!$AF$2:$AF$301,"&lt;"&amp;AF58)+1)</f>
        <v/>
      </c>
      <c r="AH58" s="41">
        <f>IF(A58="",0,IF(OR(AA58=0,AND(B58="OK",OR(C58&lt;=D58+N(O58)*Settings!$C$6,Settings!$C$10-AA58&gt;Settings!$C$8*7))),1,0))</f>
        <v/>
      </c>
      <c r="AI58" s="41">
        <f>IF(AH58=0,"",IF(AA58=0,"Never counted",IF(C58&lt;=D58+N(O58)*Settings!$C$6,"Near the reorder point","Not counted for "&amp;INT((Settings!$C$10-AA58)/7)&amp;" weeks")))</f>
        <v/>
      </c>
      <c r="AJ58" s="41">
        <f>IF(AH58=1,IFERROR(MATCH(M58,Settings!$G$19:$G$38,0),99)*1000+ROW(),"")</f>
        <v/>
      </c>
      <c r="AK58" s="41">
        <f>IF(AJ58="","",COUNTIF('Stock list'!$AJ$2:$AJ$301,"&lt;"&amp;AJ58)+1)</f>
        <v/>
      </c>
      <c r="AL58" s="41">
        <f>IF(OR(A58="",N(AC58)=0),"",AC58+ROW()/1000000)</f>
        <v/>
      </c>
    </row>
    <row r="59">
      <c r="A59" s="24" t="n"/>
      <c r="B59" s="30">
        <f>IF(A59="","",IF(AA59=0,"No count",IF(AND(N(O59)&gt;0,C59/O59*7&lt;Q59),"Critical",IF(F59&gt;0,"On order",IF(AND(D59&gt;0,C59&lt;=D59),"Order now","OK")))))</f>
        <v/>
      </c>
      <c r="C59" s="31">
        <f>IF(A59="","",MAX(0,IF(_xlfn.MAXIFS(Log!$A$2:$A$1001,Log!$B$2:$B$1001,A59,Log!$C$2:$C$1001,"Count")&gt;N(S59),_xlfn.MAXIFS(Log!$D$2:$D$1001,Log!$B$2:$B$1001,A59,Log!$C$2:$C$1001,"Count",Log!$A$2:$A$1001,AA59),N(R59))+SUMIFS(Log!$D$2:$D$1001,Log!$B$2:$B$1001,A59,Log!$C$2:$C$1001,"Received",Log!$A$2:$A$1001,"&gt;"&amp;AA59)-SUMIFS(Log!$D$2:$D$1001,Log!$B$2:$B$1001,A59,Log!$C$2:$C$1001,"Used",Log!$A$2:$A$1001,"&gt;"&amp;AA59)+SUMIFS(Log!$D$2:$D$1001,Log!$B$2:$B$1001,A59,Log!$C$2:$C$1001,"Adjustment",Log!$A$2:$A$1001,"&gt;"&amp;AA59)))</f>
        <v/>
      </c>
      <c r="D59" s="32">
        <f>IF(A59="","",IF(X59&lt;&gt;"",X59,W59))</f>
        <v/>
      </c>
      <c r="E59" s="33">
        <f>IF(OR(A59="",N(O59)=0),"",C59/O59)</f>
        <v/>
      </c>
      <c r="F59" s="31">
        <f>IF(A59="","",MAX(0,N(T59)-SUMIFS(Log!$D$2:$D$1001,Log!$B$2:$B$1001,A59,Log!$C$2:$C$1001,"Received",Log!$A$2:$A$1001,"&gt;="&amp;N(U59))))</f>
        <v/>
      </c>
      <c r="G59" s="24" t="n"/>
      <c r="H59" s="24" t="n"/>
      <c r="I59" s="24" t="n"/>
      <c r="J59" s="24" t="n"/>
      <c r="K59" s="24" t="n"/>
      <c r="L59" s="34" t="n"/>
      <c r="M59" s="24" t="n"/>
      <c r="N59" s="24" t="n"/>
      <c r="O59" s="35" t="n"/>
      <c r="P59" s="25" t="n"/>
      <c r="Q59" s="36">
        <f>IF(A59="","",IF(P59&lt;&gt;"",P59,IFERROR(IF(N(INDEX(Suppliers!$E$5:$E$24,MATCH(H59,Suppliers!$B$5:$B$24,0)))&gt;0,INDEX(Suppliers!$E$5:$E$24,MATCH(H59,Suppliers!$B$5:$B$24,0)),5),5)))</f>
        <v/>
      </c>
      <c r="R59" s="35" t="n"/>
      <c r="S59" s="37" t="n"/>
      <c r="T59" s="25" t="n"/>
      <c r="U59" s="37" t="n"/>
      <c r="V59" s="37" t="n"/>
      <c r="W59" s="36">
        <f>IF(A59="","",ROUNDUP(N(O59)*(Q59/7+Settings!$C$5),0))</f>
        <v/>
      </c>
      <c r="X59" s="25" t="n"/>
      <c r="Y59" s="25" t="n"/>
      <c r="Z59" s="32">
        <f>IF(A59="","",IF(Y59&lt;&gt;"",Y59,MAX(1,ROUNDUP(N(O59)*Settings!$C$7,0))))</f>
        <v/>
      </c>
      <c r="AA59" s="38">
        <f>IF(A59="","",MAX(N(S59),_xlfn.MAXIFS(Log!$A$2:$A$1001,Log!$B$2:$B$1001,A59,Log!$C$2:$C$1001,"Count")))</f>
        <v/>
      </c>
      <c r="AB59" s="39">
        <f>IF(A59="","",Z59*N(L59))</f>
        <v/>
      </c>
      <c r="AC59" s="40">
        <f>IF(A59="","",N(O59)*52*N(L59))</f>
        <v/>
      </c>
      <c r="AD59" s="39">
        <f>IF(A59="","",C59*N(L59))</f>
        <v/>
      </c>
      <c r="AE59" s="41">
        <f>IF(A59="",0,IF(AND(OR(B59="Order now",B59="Critical"),F59=0),1,0))</f>
        <v/>
      </c>
      <c r="AF59" s="41">
        <f>IF(AE59=1,IFERROR(MATCH(H59,Suppliers!$B$5:$B$24,0),99)*1000+ROW(),"")</f>
        <v/>
      </c>
      <c r="AG59" s="41">
        <f>IF(AF59="","",COUNTIF('Stock list'!$AF$2:$AF$301,"&lt;"&amp;AF59)+1)</f>
        <v/>
      </c>
      <c r="AH59" s="41">
        <f>IF(A59="",0,IF(OR(AA59=0,AND(B59="OK",OR(C59&lt;=D59+N(O59)*Settings!$C$6,Settings!$C$10-AA59&gt;Settings!$C$8*7))),1,0))</f>
        <v/>
      </c>
      <c r="AI59" s="41">
        <f>IF(AH59=0,"",IF(AA59=0,"Never counted",IF(C59&lt;=D59+N(O59)*Settings!$C$6,"Near the reorder point","Not counted for "&amp;INT((Settings!$C$10-AA59)/7)&amp;" weeks")))</f>
        <v/>
      </c>
      <c r="AJ59" s="41">
        <f>IF(AH59=1,IFERROR(MATCH(M59,Settings!$G$19:$G$38,0),99)*1000+ROW(),"")</f>
        <v/>
      </c>
      <c r="AK59" s="41">
        <f>IF(AJ59="","",COUNTIF('Stock list'!$AJ$2:$AJ$301,"&lt;"&amp;AJ59)+1)</f>
        <v/>
      </c>
      <c r="AL59" s="41">
        <f>IF(OR(A59="",N(AC59)=0),"",AC59+ROW()/1000000)</f>
        <v/>
      </c>
    </row>
    <row r="60">
      <c r="A60" s="24" t="n"/>
      <c r="B60" s="30">
        <f>IF(A60="","",IF(AA60=0,"No count",IF(AND(N(O60)&gt;0,C60/O60*7&lt;Q60),"Critical",IF(F60&gt;0,"On order",IF(AND(D60&gt;0,C60&lt;=D60),"Order now","OK")))))</f>
        <v/>
      </c>
      <c r="C60" s="31">
        <f>IF(A60="","",MAX(0,IF(_xlfn.MAXIFS(Log!$A$2:$A$1001,Log!$B$2:$B$1001,A60,Log!$C$2:$C$1001,"Count")&gt;N(S60),_xlfn.MAXIFS(Log!$D$2:$D$1001,Log!$B$2:$B$1001,A60,Log!$C$2:$C$1001,"Count",Log!$A$2:$A$1001,AA60),N(R60))+SUMIFS(Log!$D$2:$D$1001,Log!$B$2:$B$1001,A60,Log!$C$2:$C$1001,"Received",Log!$A$2:$A$1001,"&gt;"&amp;AA60)-SUMIFS(Log!$D$2:$D$1001,Log!$B$2:$B$1001,A60,Log!$C$2:$C$1001,"Used",Log!$A$2:$A$1001,"&gt;"&amp;AA60)+SUMIFS(Log!$D$2:$D$1001,Log!$B$2:$B$1001,A60,Log!$C$2:$C$1001,"Adjustment",Log!$A$2:$A$1001,"&gt;"&amp;AA60)))</f>
        <v/>
      </c>
      <c r="D60" s="32">
        <f>IF(A60="","",IF(X60&lt;&gt;"",X60,W60))</f>
        <v/>
      </c>
      <c r="E60" s="33">
        <f>IF(OR(A60="",N(O60)=0),"",C60/O60)</f>
        <v/>
      </c>
      <c r="F60" s="31">
        <f>IF(A60="","",MAX(0,N(T60)-SUMIFS(Log!$D$2:$D$1001,Log!$B$2:$B$1001,A60,Log!$C$2:$C$1001,"Received",Log!$A$2:$A$1001,"&gt;="&amp;N(U60))))</f>
        <v/>
      </c>
      <c r="G60" s="24" t="n"/>
      <c r="H60" s="24" t="n"/>
      <c r="I60" s="24" t="n"/>
      <c r="J60" s="24" t="n"/>
      <c r="K60" s="24" t="n"/>
      <c r="L60" s="34" t="n"/>
      <c r="M60" s="24" t="n"/>
      <c r="N60" s="24" t="n"/>
      <c r="O60" s="35" t="n"/>
      <c r="P60" s="25" t="n"/>
      <c r="Q60" s="36">
        <f>IF(A60="","",IF(P60&lt;&gt;"",P60,IFERROR(IF(N(INDEX(Suppliers!$E$5:$E$24,MATCH(H60,Suppliers!$B$5:$B$24,0)))&gt;0,INDEX(Suppliers!$E$5:$E$24,MATCH(H60,Suppliers!$B$5:$B$24,0)),5),5)))</f>
        <v/>
      </c>
      <c r="R60" s="35" t="n"/>
      <c r="S60" s="37" t="n"/>
      <c r="T60" s="25" t="n"/>
      <c r="U60" s="37" t="n"/>
      <c r="V60" s="37" t="n"/>
      <c r="W60" s="36">
        <f>IF(A60="","",ROUNDUP(N(O60)*(Q60/7+Settings!$C$5),0))</f>
        <v/>
      </c>
      <c r="X60" s="25" t="n"/>
      <c r="Y60" s="25" t="n"/>
      <c r="Z60" s="32">
        <f>IF(A60="","",IF(Y60&lt;&gt;"",Y60,MAX(1,ROUNDUP(N(O60)*Settings!$C$7,0))))</f>
        <v/>
      </c>
      <c r="AA60" s="38">
        <f>IF(A60="","",MAX(N(S60),_xlfn.MAXIFS(Log!$A$2:$A$1001,Log!$B$2:$B$1001,A60,Log!$C$2:$C$1001,"Count")))</f>
        <v/>
      </c>
      <c r="AB60" s="39">
        <f>IF(A60="","",Z60*N(L60))</f>
        <v/>
      </c>
      <c r="AC60" s="40">
        <f>IF(A60="","",N(O60)*52*N(L60))</f>
        <v/>
      </c>
      <c r="AD60" s="39">
        <f>IF(A60="","",C60*N(L60))</f>
        <v/>
      </c>
      <c r="AE60" s="41">
        <f>IF(A60="",0,IF(AND(OR(B60="Order now",B60="Critical"),F60=0),1,0))</f>
        <v/>
      </c>
      <c r="AF60" s="41">
        <f>IF(AE60=1,IFERROR(MATCH(H60,Suppliers!$B$5:$B$24,0),99)*1000+ROW(),"")</f>
        <v/>
      </c>
      <c r="AG60" s="41">
        <f>IF(AF60="","",COUNTIF('Stock list'!$AF$2:$AF$301,"&lt;"&amp;AF60)+1)</f>
        <v/>
      </c>
      <c r="AH60" s="41">
        <f>IF(A60="",0,IF(OR(AA60=0,AND(B60="OK",OR(C60&lt;=D60+N(O60)*Settings!$C$6,Settings!$C$10-AA60&gt;Settings!$C$8*7))),1,0))</f>
        <v/>
      </c>
      <c r="AI60" s="41">
        <f>IF(AH60=0,"",IF(AA60=0,"Never counted",IF(C60&lt;=D60+N(O60)*Settings!$C$6,"Near the reorder point","Not counted for "&amp;INT((Settings!$C$10-AA60)/7)&amp;" weeks")))</f>
        <v/>
      </c>
      <c r="AJ60" s="41">
        <f>IF(AH60=1,IFERROR(MATCH(M60,Settings!$G$19:$G$38,0),99)*1000+ROW(),"")</f>
        <v/>
      </c>
      <c r="AK60" s="41">
        <f>IF(AJ60="","",COUNTIF('Stock list'!$AJ$2:$AJ$301,"&lt;"&amp;AJ60)+1)</f>
        <v/>
      </c>
      <c r="AL60" s="41">
        <f>IF(OR(A60="",N(AC60)=0),"",AC60+ROW()/1000000)</f>
        <v/>
      </c>
    </row>
    <row r="61">
      <c r="A61" s="24" t="n"/>
      <c r="B61" s="30">
        <f>IF(A61="","",IF(AA61=0,"No count",IF(AND(N(O61)&gt;0,C61/O61*7&lt;Q61),"Critical",IF(F61&gt;0,"On order",IF(AND(D61&gt;0,C61&lt;=D61),"Order now","OK")))))</f>
        <v/>
      </c>
      <c r="C61" s="31">
        <f>IF(A61="","",MAX(0,IF(_xlfn.MAXIFS(Log!$A$2:$A$1001,Log!$B$2:$B$1001,A61,Log!$C$2:$C$1001,"Count")&gt;N(S61),_xlfn.MAXIFS(Log!$D$2:$D$1001,Log!$B$2:$B$1001,A61,Log!$C$2:$C$1001,"Count",Log!$A$2:$A$1001,AA61),N(R61))+SUMIFS(Log!$D$2:$D$1001,Log!$B$2:$B$1001,A61,Log!$C$2:$C$1001,"Received",Log!$A$2:$A$1001,"&gt;"&amp;AA61)-SUMIFS(Log!$D$2:$D$1001,Log!$B$2:$B$1001,A61,Log!$C$2:$C$1001,"Used",Log!$A$2:$A$1001,"&gt;"&amp;AA61)+SUMIFS(Log!$D$2:$D$1001,Log!$B$2:$B$1001,A61,Log!$C$2:$C$1001,"Adjustment",Log!$A$2:$A$1001,"&gt;"&amp;AA61)))</f>
        <v/>
      </c>
      <c r="D61" s="32">
        <f>IF(A61="","",IF(X61&lt;&gt;"",X61,W61))</f>
        <v/>
      </c>
      <c r="E61" s="33">
        <f>IF(OR(A61="",N(O61)=0),"",C61/O61)</f>
        <v/>
      </c>
      <c r="F61" s="31">
        <f>IF(A61="","",MAX(0,N(T61)-SUMIFS(Log!$D$2:$D$1001,Log!$B$2:$B$1001,A61,Log!$C$2:$C$1001,"Received",Log!$A$2:$A$1001,"&gt;="&amp;N(U61))))</f>
        <v/>
      </c>
      <c r="G61" s="24" t="n"/>
      <c r="H61" s="24" t="n"/>
      <c r="I61" s="24" t="n"/>
      <c r="J61" s="24" t="n"/>
      <c r="K61" s="24" t="n"/>
      <c r="L61" s="34" t="n"/>
      <c r="M61" s="24" t="n"/>
      <c r="N61" s="24" t="n"/>
      <c r="O61" s="35" t="n"/>
      <c r="P61" s="25" t="n"/>
      <c r="Q61" s="36">
        <f>IF(A61="","",IF(P61&lt;&gt;"",P61,IFERROR(IF(N(INDEX(Suppliers!$E$5:$E$24,MATCH(H61,Suppliers!$B$5:$B$24,0)))&gt;0,INDEX(Suppliers!$E$5:$E$24,MATCH(H61,Suppliers!$B$5:$B$24,0)),5),5)))</f>
        <v/>
      </c>
      <c r="R61" s="35" t="n"/>
      <c r="S61" s="37" t="n"/>
      <c r="T61" s="25" t="n"/>
      <c r="U61" s="37" t="n"/>
      <c r="V61" s="37" t="n"/>
      <c r="W61" s="36">
        <f>IF(A61="","",ROUNDUP(N(O61)*(Q61/7+Settings!$C$5),0))</f>
        <v/>
      </c>
      <c r="X61" s="25" t="n"/>
      <c r="Y61" s="25" t="n"/>
      <c r="Z61" s="32">
        <f>IF(A61="","",IF(Y61&lt;&gt;"",Y61,MAX(1,ROUNDUP(N(O61)*Settings!$C$7,0))))</f>
        <v/>
      </c>
      <c r="AA61" s="38">
        <f>IF(A61="","",MAX(N(S61),_xlfn.MAXIFS(Log!$A$2:$A$1001,Log!$B$2:$B$1001,A61,Log!$C$2:$C$1001,"Count")))</f>
        <v/>
      </c>
      <c r="AB61" s="39">
        <f>IF(A61="","",Z61*N(L61))</f>
        <v/>
      </c>
      <c r="AC61" s="40">
        <f>IF(A61="","",N(O61)*52*N(L61))</f>
        <v/>
      </c>
      <c r="AD61" s="39">
        <f>IF(A61="","",C61*N(L61))</f>
        <v/>
      </c>
      <c r="AE61" s="41">
        <f>IF(A61="",0,IF(AND(OR(B61="Order now",B61="Critical"),F61=0),1,0))</f>
        <v/>
      </c>
      <c r="AF61" s="41">
        <f>IF(AE61=1,IFERROR(MATCH(H61,Suppliers!$B$5:$B$24,0),99)*1000+ROW(),"")</f>
        <v/>
      </c>
      <c r="AG61" s="41">
        <f>IF(AF61="","",COUNTIF('Stock list'!$AF$2:$AF$301,"&lt;"&amp;AF61)+1)</f>
        <v/>
      </c>
      <c r="AH61" s="41">
        <f>IF(A61="",0,IF(OR(AA61=0,AND(B61="OK",OR(C61&lt;=D61+N(O61)*Settings!$C$6,Settings!$C$10-AA61&gt;Settings!$C$8*7))),1,0))</f>
        <v/>
      </c>
      <c r="AI61" s="41">
        <f>IF(AH61=0,"",IF(AA61=0,"Never counted",IF(C61&lt;=D61+N(O61)*Settings!$C$6,"Near the reorder point","Not counted for "&amp;INT((Settings!$C$10-AA61)/7)&amp;" weeks")))</f>
        <v/>
      </c>
      <c r="AJ61" s="41">
        <f>IF(AH61=1,IFERROR(MATCH(M61,Settings!$G$19:$G$38,0),99)*1000+ROW(),"")</f>
        <v/>
      </c>
      <c r="AK61" s="41">
        <f>IF(AJ61="","",COUNTIF('Stock list'!$AJ$2:$AJ$301,"&lt;"&amp;AJ61)+1)</f>
        <v/>
      </c>
      <c r="AL61" s="41">
        <f>IF(OR(A61="",N(AC61)=0),"",AC61+ROW()/1000000)</f>
        <v/>
      </c>
    </row>
    <row r="62">
      <c r="A62" s="24" t="n"/>
      <c r="B62" s="30">
        <f>IF(A62="","",IF(AA62=0,"No count",IF(AND(N(O62)&gt;0,C62/O62*7&lt;Q62),"Critical",IF(F62&gt;0,"On order",IF(AND(D62&gt;0,C62&lt;=D62),"Order now","OK")))))</f>
        <v/>
      </c>
      <c r="C62" s="31">
        <f>IF(A62="","",MAX(0,IF(_xlfn.MAXIFS(Log!$A$2:$A$1001,Log!$B$2:$B$1001,A62,Log!$C$2:$C$1001,"Count")&gt;N(S62),_xlfn.MAXIFS(Log!$D$2:$D$1001,Log!$B$2:$B$1001,A62,Log!$C$2:$C$1001,"Count",Log!$A$2:$A$1001,AA62),N(R62))+SUMIFS(Log!$D$2:$D$1001,Log!$B$2:$B$1001,A62,Log!$C$2:$C$1001,"Received",Log!$A$2:$A$1001,"&gt;"&amp;AA62)-SUMIFS(Log!$D$2:$D$1001,Log!$B$2:$B$1001,A62,Log!$C$2:$C$1001,"Used",Log!$A$2:$A$1001,"&gt;"&amp;AA62)+SUMIFS(Log!$D$2:$D$1001,Log!$B$2:$B$1001,A62,Log!$C$2:$C$1001,"Adjustment",Log!$A$2:$A$1001,"&gt;"&amp;AA62)))</f>
        <v/>
      </c>
      <c r="D62" s="32">
        <f>IF(A62="","",IF(X62&lt;&gt;"",X62,W62))</f>
        <v/>
      </c>
      <c r="E62" s="33">
        <f>IF(OR(A62="",N(O62)=0),"",C62/O62)</f>
        <v/>
      </c>
      <c r="F62" s="31">
        <f>IF(A62="","",MAX(0,N(T62)-SUMIFS(Log!$D$2:$D$1001,Log!$B$2:$B$1001,A62,Log!$C$2:$C$1001,"Received",Log!$A$2:$A$1001,"&gt;="&amp;N(U62))))</f>
        <v/>
      </c>
      <c r="G62" s="24" t="n"/>
      <c r="H62" s="24" t="n"/>
      <c r="I62" s="24" t="n"/>
      <c r="J62" s="24" t="n"/>
      <c r="K62" s="24" t="n"/>
      <c r="L62" s="34" t="n"/>
      <c r="M62" s="24" t="n"/>
      <c r="N62" s="24" t="n"/>
      <c r="O62" s="35" t="n"/>
      <c r="P62" s="25" t="n"/>
      <c r="Q62" s="36">
        <f>IF(A62="","",IF(P62&lt;&gt;"",P62,IFERROR(IF(N(INDEX(Suppliers!$E$5:$E$24,MATCH(H62,Suppliers!$B$5:$B$24,0)))&gt;0,INDEX(Suppliers!$E$5:$E$24,MATCH(H62,Suppliers!$B$5:$B$24,0)),5),5)))</f>
        <v/>
      </c>
      <c r="R62" s="35" t="n"/>
      <c r="S62" s="37" t="n"/>
      <c r="T62" s="25" t="n"/>
      <c r="U62" s="37" t="n"/>
      <c r="V62" s="37" t="n"/>
      <c r="W62" s="36">
        <f>IF(A62="","",ROUNDUP(N(O62)*(Q62/7+Settings!$C$5),0))</f>
        <v/>
      </c>
      <c r="X62" s="25" t="n"/>
      <c r="Y62" s="25" t="n"/>
      <c r="Z62" s="32">
        <f>IF(A62="","",IF(Y62&lt;&gt;"",Y62,MAX(1,ROUNDUP(N(O62)*Settings!$C$7,0))))</f>
        <v/>
      </c>
      <c r="AA62" s="38">
        <f>IF(A62="","",MAX(N(S62),_xlfn.MAXIFS(Log!$A$2:$A$1001,Log!$B$2:$B$1001,A62,Log!$C$2:$C$1001,"Count")))</f>
        <v/>
      </c>
      <c r="AB62" s="39">
        <f>IF(A62="","",Z62*N(L62))</f>
        <v/>
      </c>
      <c r="AC62" s="40">
        <f>IF(A62="","",N(O62)*52*N(L62))</f>
        <v/>
      </c>
      <c r="AD62" s="39">
        <f>IF(A62="","",C62*N(L62))</f>
        <v/>
      </c>
      <c r="AE62" s="41">
        <f>IF(A62="",0,IF(AND(OR(B62="Order now",B62="Critical"),F62=0),1,0))</f>
        <v/>
      </c>
      <c r="AF62" s="41">
        <f>IF(AE62=1,IFERROR(MATCH(H62,Suppliers!$B$5:$B$24,0),99)*1000+ROW(),"")</f>
        <v/>
      </c>
      <c r="AG62" s="41">
        <f>IF(AF62="","",COUNTIF('Stock list'!$AF$2:$AF$301,"&lt;"&amp;AF62)+1)</f>
        <v/>
      </c>
      <c r="AH62" s="41">
        <f>IF(A62="",0,IF(OR(AA62=0,AND(B62="OK",OR(C62&lt;=D62+N(O62)*Settings!$C$6,Settings!$C$10-AA62&gt;Settings!$C$8*7))),1,0))</f>
        <v/>
      </c>
      <c r="AI62" s="41">
        <f>IF(AH62=0,"",IF(AA62=0,"Never counted",IF(C62&lt;=D62+N(O62)*Settings!$C$6,"Near the reorder point","Not counted for "&amp;INT((Settings!$C$10-AA62)/7)&amp;" weeks")))</f>
        <v/>
      </c>
      <c r="AJ62" s="41">
        <f>IF(AH62=1,IFERROR(MATCH(M62,Settings!$G$19:$G$38,0),99)*1000+ROW(),"")</f>
        <v/>
      </c>
      <c r="AK62" s="41">
        <f>IF(AJ62="","",COUNTIF('Stock list'!$AJ$2:$AJ$301,"&lt;"&amp;AJ62)+1)</f>
        <v/>
      </c>
      <c r="AL62" s="41">
        <f>IF(OR(A62="",N(AC62)=0),"",AC62+ROW()/1000000)</f>
        <v/>
      </c>
    </row>
    <row r="63">
      <c r="A63" s="24" t="n"/>
      <c r="B63" s="30">
        <f>IF(A63="","",IF(AA63=0,"No count",IF(AND(N(O63)&gt;0,C63/O63*7&lt;Q63),"Critical",IF(F63&gt;0,"On order",IF(AND(D63&gt;0,C63&lt;=D63),"Order now","OK")))))</f>
        <v/>
      </c>
      <c r="C63" s="31">
        <f>IF(A63="","",MAX(0,IF(_xlfn.MAXIFS(Log!$A$2:$A$1001,Log!$B$2:$B$1001,A63,Log!$C$2:$C$1001,"Count")&gt;N(S63),_xlfn.MAXIFS(Log!$D$2:$D$1001,Log!$B$2:$B$1001,A63,Log!$C$2:$C$1001,"Count",Log!$A$2:$A$1001,AA63),N(R63))+SUMIFS(Log!$D$2:$D$1001,Log!$B$2:$B$1001,A63,Log!$C$2:$C$1001,"Received",Log!$A$2:$A$1001,"&gt;"&amp;AA63)-SUMIFS(Log!$D$2:$D$1001,Log!$B$2:$B$1001,A63,Log!$C$2:$C$1001,"Used",Log!$A$2:$A$1001,"&gt;"&amp;AA63)+SUMIFS(Log!$D$2:$D$1001,Log!$B$2:$B$1001,A63,Log!$C$2:$C$1001,"Adjustment",Log!$A$2:$A$1001,"&gt;"&amp;AA63)))</f>
        <v/>
      </c>
      <c r="D63" s="32">
        <f>IF(A63="","",IF(X63&lt;&gt;"",X63,W63))</f>
        <v/>
      </c>
      <c r="E63" s="33">
        <f>IF(OR(A63="",N(O63)=0),"",C63/O63)</f>
        <v/>
      </c>
      <c r="F63" s="31">
        <f>IF(A63="","",MAX(0,N(T63)-SUMIFS(Log!$D$2:$D$1001,Log!$B$2:$B$1001,A63,Log!$C$2:$C$1001,"Received",Log!$A$2:$A$1001,"&gt;="&amp;N(U63))))</f>
        <v/>
      </c>
      <c r="G63" s="24" t="n"/>
      <c r="H63" s="24" t="n"/>
      <c r="I63" s="24" t="n"/>
      <c r="J63" s="24" t="n"/>
      <c r="K63" s="24" t="n"/>
      <c r="L63" s="34" t="n"/>
      <c r="M63" s="24" t="n"/>
      <c r="N63" s="24" t="n"/>
      <c r="O63" s="35" t="n"/>
      <c r="P63" s="25" t="n"/>
      <c r="Q63" s="36">
        <f>IF(A63="","",IF(P63&lt;&gt;"",P63,IFERROR(IF(N(INDEX(Suppliers!$E$5:$E$24,MATCH(H63,Suppliers!$B$5:$B$24,0)))&gt;0,INDEX(Suppliers!$E$5:$E$24,MATCH(H63,Suppliers!$B$5:$B$24,0)),5),5)))</f>
        <v/>
      </c>
      <c r="R63" s="35" t="n"/>
      <c r="S63" s="37" t="n"/>
      <c r="T63" s="25" t="n"/>
      <c r="U63" s="37" t="n"/>
      <c r="V63" s="37" t="n"/>
      <c r="W63" s="36">
        <f>IF(A63="","",ROUNDUP(N(O63)*(Q63/7+Settings!$C$5),0))</f>
        <v/>
      </c>
      <c r="X63" s="25" t="n"/>
      <c r="Y63" s="25" t="n"/>
      <c r="Z63" s="32">
        <f>IF(A63="","",IF(Y63&lt;&gt;"",Y63,MAX(1,ROUNDUP(N(O63)*Settings!$C$7,0))))</f>
        <v/>
      </c>
      <c r="AA63" s="38">
        <f>IF(A63="","",MAX(N(S63),_xlfn.MAXIFS(Log!$A$2:$A$1001,Log!$B$2:$B$1001,A63,Log!$C$2:$C$1001,"Count")))</f>
        <v/>
      </c>
      <c r="AB63" s="39">
        <f>IF(A63="","",Z63*N(L63))</f>
        <v/>
      </c>
      <c r="AC63" s="40">
        <f>IF(A63="","",N(O63)*52*N(L63))</f>
        <v/>
      </c>
      <c r="AD63" s="39">
        <f>IF(A63="","",C63*N(L63))</f>
        <v/>
      </c>
      <c r="AE63" s="41">
        <f>IF(A63="",0,IF(AND(OR(B63="Order now",B63="Critical"),F63=0),1,0))</f>
        <v/>
      </c>
      <c r="AF63" s="41">
        <f>IF(AE63=1,IFERROR(MATCH(H63,Suppliers!$B$5:$B$24,0),99)*1000+ROW(),"")</f>
        <v/>
      </c>
      <c r="AG63" s="41">
        <f>IF(AF63="","",COUNTIF('Stock list'!$AF$2:$AF$301,"&lt;"&amp;AF63)+1)</f>
        <v/>
      </c>
      <c r="AH63" s="41">
        <f>IF(A63="",0,IF(OR(AA63=0,AND(B63="OK",OR(C63&lt;=D63+N(O63)*Settings!$C$6,Settings!$C$10-AA63&gt;Settings!$C$8*7))),1,0))</f>
        <v/>
      </c>
      <c r="AI63" s="41">
        <f>IF(AH63=0,"",IF(AA63=0,"Never counted",IF(C63&lt;=D63+N(O63)*Settings!$C$6,"Near the reorder point","Not counted for "&amp;INT((Settings!$C$10-AA63)/7)&amp;" weeks")))</f>
        <v/>
      </c>
      <c r="AJ63" s="41">
        <f>IF(AH63=1,IFERROR(MATCH(M63,Settings!$G$19:$G$38,0),99)*1000+ROW(),"")</f>
        <v/>
      </c>
      <c r="AK63" s="41">
        <f>IF(AJ63="","",COUNTIF('Stock list'!$AJ$2:$AJ$301,"&lt;"&amp;AJ63)+1)</f>
        <v/>
      </c>
      <c r="AL63" s="41">
        <f>IF(OR(A63="",N(AC63)=0),"",AC63+ROW()/1000000)</f>
        <v/>
      </c>
    </row>
    <row r="64">
      <c r="A64" s="24" t="n"/>
      <c r="B64" s="30">
        <f>IF(A64="","",IF(AA64=0,"No count",IF(AND(N(O64)&gt;0,C64/O64*7&lt;Q64),"Critical",IF(F64&gt;0,"On order",IF(AND(D64&gt;0,C64&lt;=D64),"Order now","OK")))))</f>
        <v/>
      </c>
      <c r="C64" s="31">
        <f>IF(A64="","",MAX(0,IF(_xlfn.MAXIFS(Log!$A$2:$A$1001,Log!$B$2:$B$1001,A64,Log!$C$2:$C$1001,"Count")&gt;N(S64),_xlfn.MAXIFS(Log!$D$2:$D$1001,Log!$B$2:$B$1001,A64,Log!$C$2:$C$1001,"Count",Log!$A$2:$A$1001,AA64),N(R64))+SUMIFS(Log!$D$2:$D$1001,Log!$B$2:$B$1001,A64,Log!$C$2:$C$1001,"Received",Log!$A$2:$A$1001,"&gt;"&amp;AA64)-SUMIFS(Log!$D$2:$D$1001,Log!$B$2:$B$1001,A64,Log!$C$2:$C$1001,"Used",Log!$A$2:$A$1001,"&gt;"&amp;AA64)+SUMIFS(Log!$D$2:$D$1001,Log!$B$2:$B$1001,A64,Log!$C$2:$C$1001,"Adjustment",Log!$A$2:$A$1001,"&gt;"&amp;AA64)))</f>
        <v/>
      </c>
      <c r="D64" s="32">
        <f>IF(A64="","",IF(X64&lt;&gt;"",X64,W64))</f>
        <v/>
      </c>
      <c r="E64" s="33">
        <f>IF(OR(A64="",N(O64)=0),"",C64/O64)</f>
        <v/>
      </c>
      <c r="F64" s="31">
        <f>IF(A64="","",MAX(0,N(T64)-SUMIFS(Log!$D$2:$D$1001,Log!$B$2:$B$1001,A64,Log!$C$2:$C$1001,"Received",Log!$A$2:$A$1001,"&gt;="&amp;N(U64))))</f>
        <v/>
      </c>
      <c r="G64" s="24" t="n"/>
      <c r="H64" s="24" t="n"/>
      <c r="I64" s="24" t="n"/>
      <c r="J64" s="24" t="n"/>
      <c r="K64" s="24" t="n"/>
      <c r="L64" s="34" t="n"/>
      <c r="M64" s="24" t="n"/>
      <c r="N64" s="24" t="n"/>
      <c r="O64" s="35" t="n"/>
      <c r="P64" s="25" t="n"/>
      <c r="Q64" s="36">
        <f>IF(A64="","",IF(P64&lt;&gt;"",P64,IFERROR(IF(N(INDEX(Suppliers!$E$5:$E$24,MATCH(H64,Suppliers!$B$5:$B$24,0)))&gt;0,INDEX(Suppliers!$E$5:$E$24,MATCH(H64,Suppliers!$B$5:$B$24,0)),5),5)))</f>
        <v/>
      </c>
      <c r="R64" s="35" t="n"/>
      <c r="S64" s="37" t="n"/>
      <c r="T64" s="25" t="n"/>
      <c r="U64" s="37" t="n"/>
      <c r="V64" s="37" t="n"/>
      <c r="W64" s="36">
        <f>IF(A64="","",ROUNDUP(N(O64)*(Q64/7+Settings!$C$5),0))</f>
        <v/>
      </c>
      <c r="X64" s="25" t="n"/>
      <c r="Y64" s="25" t="n"/>
      <c r="Z64" s="32">
        <f>IF(A64="","",IF(Y64&lt;&gt;"",Y64,MAX(1,ROUNDUP(N(O64)*Settings!$C$7,0))))</f>
        <v/>
      </c>
      <c r="AA64" s="38">
        <f>IF(A64="","",MAX(N(S64),_xlfn.MAXIFS(Log!$A$2:$A$1001,Log!$B$2:$B$1001,A64,Log!$C$2:$C$1001,"Count")))</f>
        <v/>
      </c>
      <c r="AB64" s="39">
        <f>IF(A64="","",Z64*N(L64))</f>
        <v/>
      </c>
      <c r="AC64" s="40">
        <f>IF(A64="","",N(O64)*52*N(L64))</f>
        <v/>
      </c>
      <c r="AD64" s="39">
        <f>IF(A64="","",C64*N(L64))</f>
        <v/>
      </c>
      <c r="AE64" s="41">
        <f>IF(A64="",0,IF(AND(OR(B64="Order now",B64="Critical"),F64=0),1,0))</f>
        <v/>
      </c>
      <c r="AF64" s="41">
        <f>IF(AE64=1,IFERROR(MATCH(H64,Suppliers!$B$5:$B$24,0),99)*1000+ROW(),"")</f>
        <v/>
      </c>
      <c r="AG64" s="41">
        <f>IF(AF64="","",COUNTIF('Stock list'!$AF$2:$AF$301,"&lt;"&amp;AF64)+1)</f>
        <v/>
      </c>
      <c r="AH64" s="41">
        <f>IF(A64="",0,IF(OR(AA64=0,AND(B64="OK",OR(C64&lt;=D64+N(O64)*Settings!$C$6,Settings!$C$10-AA64&gt;Settings!$C$8*7))),1,0))</f>
        <v/>
      </c>
      <c r="AI64" s="41">
        <f>IF(AH64=0,"",IF(AA64=0,"Never counted",IF(C64&lt;=D64+N(O64)*Settings!$C$6,"Near the reorder point","Not counted for "&amp;INT((Settings!$C$10-AA64)/7)&amp;" weeks")))</f>
        <v/>
      </c>
      <c r="AJ64" s="41">
        <f>IF(AH64=1,IFERROR(MATCH(M64,Settings!$G$19:$G$38,0),99)*1000+ROW(),"")</f>
        <v/>
      </c>
      <c r="AK64" s="41">
        <f>IF(AJ64="","",COUNTIF('Stock list'!$AJ$2:$AJ$301,"&lt;"&amp;AJ64)+1)</f>
        <v/>
      </c>
      <c r="AL64" s="41">
        <f>IF(OR(A64="",N(AC64)=0),"",AC64+ROW()/1000000)</f>
        <v/>
      </c>
    </row>
    <row r="65">
      <c r="A65" s="24" t="n"/>
      <c r="B65" s="30">
        <f>IF(A65="","",IF(AA65=0,"No count",IF(AND(N(O65)&gt;0,C65/O65*7&lt;Q65),"Critical",IF(F65&gt;0,"On order",IF(AND(D65&gt;0,C65&lt;=D65),"Order now","OK")))))</f>
        <v/>
      </c>
      <c r="C65" s="31">
        <f>IF(A65="","",MAX(0,IF(_xlfn.MAXIFS(Log!$A$2:$A$1001,Log!$B$2:$B$1001,A65,Log!$C$2:$C$1001,"Count")&gt;N(S65),_xlfn.MAXIFS(Log!$D$2:$D$1001,Log!$B$2:$B$1001,A65,Log!$C$2:$C$1001,"Count",Log!$A$2:$A$1001,AA65),N(R65))+SUMIFS(Log!$D$2:$D$1001,Log!$B$2:$B$1001,A65,Log!$C$2:$C$1001,"Received",Log!$A$2:$A$1001,"&gt;"&amp;AA65)-SUMIFS(Log!$D$2:$D$1001,Log!$B$2:$B$1001,A65,Log!$C$2:$C$1001,"Used",Log!$A$2:$A$1001,"&gt;"&amp;AA65)+SUMIFS(Log!$D$2:$D$1001,Log!$B$2:$B$1001,A65,Log!$C$2:$C$1001,"Adjustment",Log!$A$2:$A$1001,"&gt;"&amp;AA65)))</f>
        <v/>
      </c>
      <c r="D65" s="32">
        <f>IF(A65="","",IF(X65&lt;&gt;"",X65,W65))</f>
        <v/>
      </c>
      <c r="E65" s="33">
        <f>IF(OR(A65="",N(O65)=0),"",C65/O65)</f>
        <v/>
      </c>
      <c r="F65" s="31">
        <f>IF(A65="","",MAX(0,N(T65)-SUMIFS(Log!$D$2:$D$1001,Log!$B$2:$B$1001,A65,Log!$C$2:$C$1001,"Received",Log!$A$2:$A$1001,"&gt;="&amp;N(U65))))</f>
        <v/>
      </c>
      <c r="G65" s="24" t="n"/>
      <c r="H65" s="24" t="n"/>
      <c r="I65" s="24" t="n"/>
      <c r="J65" s="24" t="n"/>
      <c r="K65" s="24" t="n"/>
      <c r="L65" s="34" t="n"/>
      <c r="M65" s="24" t="n"/>
      <c r="N65" s="24" t="n"/>
      <c r="O65" s="35" t="n"/>
      <c r="P65" s="25" t="n"/>
      <c r="Q65" s="36">
        <f>IF(A65="","",IF(P65&lt;&gt;"",P65,IFERROR(IF(N(INDEX(Suppliers!$E$5:$E$24,MATCH(H65,Suppliers!$B$5:$B$24,0)))&gt;0,INDEX(Suppliers!$E$5:$E$24,MATCH(H65,Suppliers!$B$5:$B$24,0)),5),5)))</f>
        <v/>
      </c>
      <c r="R65" s="35" t="n"/>
      <c r="S65" s="37" t="n"/>
      <c r="T65" s="25" t="n"/>
      <c r="U65" s="37" t="n"/>
      <c r="V65" s="37" t="n"/>
      <c r="W65" s="36">
        <f>IF(A65="","",ROUNDUP(N(O65)*(Q65/7+Settings!$C$5),0))</f>
        <v/>
      </c>
      <c r="X65" s="25" t="n"/>
      <c r="Y65" s="25" t="n"/>
      <c r="Z65" s="32">
        <f>IF(A65="","",IF(Y65&lt;&gt;"",Y65,MAX(1,ROUNDUP(N(O65)*Settings!$C$7,0))))</f>
        <v/>
      </c>
      <c r="AA65" s="38">
        <f>IF(A65="","",MAX(N(S65),_xlfn.MAXIFS(Log!$A$2:$A$1001,Log!$B$2:$B$1001,A65,Log!$C$2:$C$1001,"Count")))</f>
        <v/>
      </c>
      <c r="AB65" s="39">
        <f>IF(A65="","",Z65*N(L65))</f>
        <v/>
      </c>
      <c r="AC65" s="40">
        <f>IF(A65="","",N(O65)*52*N(L65))</f>
        <v/>
      </c>
      <c r="AD65" s="39">
        <f>IF(A65="","",C65*N(L65))</f>
        <v/>
      </c>
      <c r="AE65" s="41">
        <f>IF(A65="",0,IF(AND(OR(B65="Order now",B65="Critical"),F65=0),1,0))</f>
        <v/>
      </c>
      <c r="AF65" s="41">
        <f>IF(AE65=1,IFERROR(MATCH(H65,Suppliers!$B$5:$B$24,0),99)*1000+ROW(),"")</f>
        <v/>
      </c>
      <c r="AG65" s="41">
        <f>IF(AF65="","",COUNTIF('Stock list'!$AF$2:$AF$301,"&lt;"&amp;AF65)+1)</f>
        <v/>
      </c>
      <c r="AH65" s="41">
        <f>IF(A65="",0,IF(OR(AA65=0,AND(B65="OK",OR(C65&lt;=D65+N(O65)*Settings!$C$6,Settings!$C$10-AA65&gt;Settings!$C$8*7))),1,0))</f>
        <v/>
      </c>
      <c r="AI65" s="41">
        <f>IF(AH65=0,"",IF(AA65=0,"Never counted",IF(C65&lt;=D65+N(O65)*Settings!$C$6,"Near the reorder point","Not counted for "&amp;INT((Settings!$C$10-AA65)/7)&amp;" weeks")))</f>
        <v/>
      </c>
      <c r="AJ65" s="41">
        <f>IF(AH65=1,IFERROR(MATCH(M65,Settings!$G$19:$G$38,0),99)*1000+ROW(),"")</f>
        <v/>
      </c>
      <c r="AK65" s="41">
        <f>IF(AJ65="","",COUNTIF('Stock list'!$AJ$2:$AJ$301,"&lt;"&amp;AJ65)+1)</f>
        <v/>
      </c>
      <c r="AL65" s="41">
        <f>IF(OR(A65="",N(AC65)=0),"",AC65+ROW()/1000000)</f>
        <v/>
      </c>
    </row>
    <row r="66">
      <c r="A66" s="24" t="n"/>
      <c r="B66" s="30">
        <f>IF(A66="","",IF(AA66=0,"No count",IF(AND(N(O66)&gt;0,C66/O66*7&lt;Q66),"Critical",IF(F66&gt;0,"On order",IF(AND(D66&gt;0,C66&lt;=D66),"Order now","OK")))))</f>
        <v/>
      </c>
      <c r="C66" s="31">
        <f>IF(A66="","",MAX(0,IF(_xlfn.MAXIFS(Log!$A$2:$A$1001,Log!$B$2:$B$1001,A66,Log!$C$2:$C$1001,"Count")&gt;N(S66),_xlfn.MAXIFS(Log!$D$2:$D$1001,Log!$B$2:$B$1001,A66,Log!$C$2:$C$1001,"Count",Log!$A$2:$A$1001,AA66),N(R66))+SUMIFS(Log!$D$2:$D$1001,Log!$B$2:$B$1001,A66,Log!$C$2:$C$1001,"Received",Log!$A$2:$A$1001,"&gt;"&amp;AA66)-SUMIFS(Log!$D$2:$D$1001,Log!$B$2:$B$1001,A66,Log!$C$2:$C$1001,"Used",Log!$A$2:$A$1001,"&gt;"&amp;AA66)+SUMIFS(Log!$D$2:$D$1001,Log!$B$2:$B$1001,A66,Log!$C$2:$C$1001,"Adjustment",Log!$A$2:$A$1001,"&gt;"&amp;AA66)))</f>
        <v/>
      </c>
      <c r="D66" s="32">
        <f>IF(A66="","",IF(X66&lt;&gt;"",X66,W66))</f>
        <v/>
      </c>
      <c r="E66" s="33">
        <f>IF(OR(A66="",N(O66)=0),"",C66/O66)</f>
        <v/>
      </c>
      <c r="F66" s="31">
        <f>IF(A66="","",MAX(0,N(T66)-SUMIFS(Log!$D$2:$D$1001,Log!$B$2:$B$1001,A66,Log!$C$2:$C$1001,"Received",Log!$A$2:$A$1001,"&gt;="&amp;N(U66))))</f>
        <v/>
      </c>
      <c r="G66" s="24" t="n"/>
      <c r="H66" s="24" t="n"/>
      <c r="I66" s="24" t="n"/>
      <c r="J66" s="24" t="n"/>
      <c r="K66" s="24" t="n"/>
      <c r="L66" s="34" t="n"/>
      <c r="M66" s="24" t="n"/>
      <c r="N66" s="24" t="n"/>
      <c r="O66" s="35" t="n"/>
      <c r="P66" s="25" t="n"/>
      <c r="Q66" s="36">
        <f>IF(A66="","",IF(P66&lt;&gt;"",P66,IFERROR(IF(N(INDEX(Suppliers!$E$5:$E$24,MATCH(H66,Suppliers!$B$5:$B$24,0)))&gt;0,INDEX(Suppliers!$E$5:$E$24,MATCH(H66,Suppliers!$B$5:$B$24,0)),5),5)))</f>
        <v/>
      </c>
      <c r="R66" s="35" t="n"/>
      <c r="S66" s="37" t="n"/>
      <c r="T66" s="25" t="n"/>
      <c r="U66" s="37" t="n"/>
      <c r="V66" s="37" t="n"/>
      <c r="W66" s="36">
        <f>IF(A66="","",ROUNDUP(N(O66)*(Q66/7+Settings!$C$5),0))</f>
        <v/>
      </c>
      <c r="X66" s="25" t="n"/>
      <c r="Y66" s="25" t="n"/>
      <c r="Z66" s="32">
        <f>IF(A66="","",IF(Y66&lt;&gt;"",Y66,MAX(1,ROUNDUP(N(O66)*Settings!$C$7,0))))</f>
        <v/>
      </c>
      <c r="AA66" s="38">
        <f>IF(A66="","",MAX(N(S66),_xlfn.MAXIFS(Log!$A$2:$A$1001,Log!$B$2:$B$1001,A66,Log!$C$2:$C$1001,"Count")))</f>
        <v/>
      </c>
      <c r="AB66" s="39">
        <f>IF(A66="","",Z66*N(L66))</f>
        <v/>
      </c>
      <c r="AC66" s="40">
        <f>IF(A66="","",N(O66)*52*N(L66))</f>
        <v/>
      </c>
      <c r="AD66" s="39">
        <f>IF(A66="","",C66*N(L66))</f>
        <v/>
      </c>
      <c r="AE66" s="41">
        <f>IF(A66="",0,IF(AND(OR(B66="Order now",B66="Critical"),F66=0),1,0))</f>
        <v/>
      </c>
      <c r="AF66" s="41">
        <f>IF(AE66=1,IFERROR(MATCH(H66,Suppliers!$B$5:$B$24,0),99)*1000+ROW(),"")</f>
        <v/>
      </c>
      <c r="AG66" s="41">
        <f>IF(AF66="","",COUNTIF('Stock list'!$AF$2:$AF$301,"&lt;"&amp;AF66)+1)</f>
        <v/>
      </c>
      <c r="AH66" s="41">
        <f>IF(A66="",0,IF(OR(AA66=0,AND(B66="OK",OR(C66&lt;=D66+N(O66)*Settings!$C$6,Settings!$C$10-AA66&gt;Settings!$C$8*7))),1,0))</f>
        <v/>
      </c>
      <c r="AI66" s="41">
        <f>IF(AH66=0,"",IF(AA66=0,"Never counted",IF(C66&lt;=D66+N(O66)*Settings!$C$6,"Near the reorder point","Not counted for "&amp;INT((Settings!$C$10-AA66)/7)&amp;" weeks")))</f>
        <v/>
      </c>
      <c r="AJ66" s="41">
        <f>IF(AH66=1,IFERROR(MATCH(M66,Settings!$G$19:$G$38,0),99)*1000+ROW(),"")</f>
        <v/>
      </c>
      <c r="AK66" s="41">
        <f>IF(AJ66="","",COUNTIF('Stock list'!$AJ$2:$AJ$301,"&lt;"&amp;AJ66)+1)</f>
        <v/>
      </c>
      <c r="AL66" s="41">
        <f>IF(OR(A66="",N(AC66)=0),"",AC66+ROW()/1000000)</f>
        <v/>
      </c>
    </row>
    <row r="67">
      <c r="A67" s="24" t="n"/>
      <c r="B67" s="30">
        <f>IF(A67="","",IF(AA67=0,"No count",IF(AND(N(O67)&gt;0,C67/O67*7&lt;Q67),"Critical",IF(F67&gt;0,"On order",IF(AND(D67&gt;0,C67&lt;=D67),"Order now","OK")))))</f>
        <v/>
      </c>
      <c r="C67" s="31">
        <f>IF(A67="","",MAX(0,IF(_xlfn.MAXIFS(Log!$A$2:$A$1001,Log!$B$2:$B$1001,A67,Log!$C$2:$C$1001,"Count")&gt;N(S67),_xlfn.MAXIFS(Log!$D$2:$D$1001,Log!$B$2:$B$1001,A67,Log!$C$2:$C$1001,"Count",Log!$A$2:$A$1001,AA67),N(R67))+SUMIFS(Log!$D$2:$D$1001,Log!$B$2:$B$1001,A67,Log!$C$2:$C$1001,"Received",Log!$A$2:$A$1001,"&gt;"&amp;AA67)-SUMIFS(Log!$D$2:$D$1001,Log!$B$2:$B$1001,A67,Log!$C$2:$C$1001,"Used",Log!$A$2:$A$1001,"&gt;"&amp;AA67)+SUMIFS(Log!$D$2:$D$1001,Log!$B$2:$B$1001,A67,Log!$C$2:$C$1001,"Adjustment",Log!$A$2:$A$1001,"&gt;"&amp;AA67)))</f>
        <v/>
      </c>
      <c r="D67" s="32">
        <f>IF(A67="","",IF(X67&lt;&gt;"",X67,W67))</f>
        <v/>
      </c>
      <c r="E67" s="33">
        <f>IF(OR(A67="",N(O67)=0),"",C67/O67)</f>
        <v/>
      </c>
      <c r="F67" s="31">
        <f>IF(A67="","",MAX(0,N(T67)-SUMIFS(Log!$D$2:$D$1001,Log!$B$2:$B$1001,A67,Log!$C$2:$C$1001,"Received",Log!$A$2:$A$1001,"&gt;="&amp;N(U67))))</f>
        <v/>
      </c>
      <c r="G67" s="24" t="n"/>
      <c r="H67" s="24" t="n"/>
      <c r="I67" s="24" t="n"/>
      <c r="J67" s="24" t="n"/>
      <c r="K67" s="24" t="n"/>
      <c r="L67" s="34" t="n"/>
      <c r="M67" s="24" t="n"/>
      <c r="N67" s="24" t="n"/>
      <c r="O67" s="35" t="n"/>
      <c r="P67" s="25" t="n"/>
      <c r="Q67" s="36">
        <f>IF(A67="","",IF(P67&lt;&gt;"",P67,IFERROR(IF(N(INDEX(Suppliers!$E$5:$E$24,MATCH(H67,Suppliers!$B$5:$B$24,0)))&gt;0,INDEX(Suppliers!$E$5:$E$24,MATCH(H67,Suppliers!$B$5:$B$24,0)),5),5)))</f>
        <v/>
      </c>
      <c r="R67" s="35" t="n"/>
      <c r="S67" s="37" t="n"/>
      <c r="T67" s="25" t="n"/>
      <c r="U67" s="37" t="n"/>
      <c r="V67" s="37" t="n"/>
      <c r="W67" s="36">
        <f>IF(A67="","",ROUNDUP(N(O67)*(Q67/7+Settings!$C$5),0))</f>
        <v/>
      </c>
      <c r="X67" s="25" t="n"/>
      <c r="Y67" s="25" t="n"/>
      <c r="Z67" s="32">
        <f>IF(A67="","",IF(Y67&lt;&gt;"",Y67,MAX(1,ROUNDUP(N(O67)*Settings!$C$7,0))))</f>
        <v/>
      </c>
      <c r="AA67" s="38">
        <f>IF(A67="","",MAX(N(S67),_xlfn.MAXIFS(Log!$A$2:$A$1001,Log!$B$2:$B$1001,A67,Log!$C$2:$C$1001,"Count")))</f>
        <v/>
      </c>
      <c r="AB67" s="39">
        <f>IF(A67="","",Z67*N(L67))</f>
        <v/>
      </c>
      <c r="AC67" s="40">
        <f>IF(A67="","",N(O67)*52*N(L67))</f>
        <v/>
      </c>
      <c r="AD67" s="39">
        <f>IF(A67="","",C67*N(L67))</f>
        <v/>
      </c>
      <c r="AE67" s="41">
        <f>IF(A67="",0,IF(AND(OR(B67="Order now",B67="Critical"),F67=0),1,0))</f>
        <v/>
      </c>
      <c r="AF67" s="41">
        <f>IF(AE67=1,IFERROR(MATCH(H67,Suppliers!$B$5:$B$24,0),99)*1000+ROW(),"")</f>
        <v/>
      </c>
      <c r="AG67" s="41">
        <f>IF(AF67="","",COUNTIF('Stock list'!$AF$2:$AF$301,"&lt;"&amp;AF67)+1)</f>
        <v/>
      </c>
      <c r="AH67" s="41">
        <f>IF(A67="",0,IF(OR(AA67=0,AND(B67="OK",OR(C67&lt;=D67+N(O67)*Settings!$C$6,Settings!$C$10-AA67&gt;Settings!$C$8*7))),1,0))</f>
        <v/>
      </c>
      <c r="AI67" s="41">
        <f>IF(AH67=0,"",IF(AA67=0,"Never counted",IF(C67&lt;=D67+N(O67)*Settings!$C$6,"Near the reorder point","Not counted for "&amp;INT((Settings!$C$10-AA67)/7)&amp;" weeks")))</f>
        <v/>
      </c>
      <c r="AJ67" s="41">
        <f>IF(AH67=1,IFERROR(MATCH(M67,Settings!$G$19:$G$38,0),99)*1000+ROW(),"")</f>
        <v/>
      </c>
      <c r="AK67" s="41">
        <f>IF(AJ67="","",COUNTIF('Stock list'!$AJ$2:$AJ$301,"&lt;"&amp;AJ67)+1)</f>
        <v/>
      </c>
      <c r="AL67" s="41">
        <f>IF(OR(A67="",N(AC67)=0),"",AC67+ROW()/1000000)</f>
        <v/>
      </c>
    </row>
    <row r="68">
      <c r="A68" s="24" t="n"/>
      <c r="B68" s="30">
        <f>IF(A68="","",IF(AA68=0,"No count",IF(AND(N(O68)&gt;0,C68/O68*7&lt;Q68),"Critical",IF(F68&gt;0,"On order",IF(AND(D68&gt;0,C68&lt;=D68),"Order now","OK")))))</f>
        <v/>
      </c>
      <c r="C68" s="31">
        <f>IF(A68="","",MAX(0,IF(_xlfn.MAXIFS(Log!$A$2:$A$1001,Log!$B$2:$B$1001,A68,Log!$C$2:$C$1001,"Count")&gt;N(S68),_xlfn.MAXIFS(Log!$D$2:$D$1001,Log!$B$2:$B$1001,A68,Log!$C$2:$C$1001,"Count",Log!$A$2:$A$1001,AA68),N(R68))+SUMIFS(Log!$D$2:$D$1001,Log!$B$2:$B$1001,A68,Log!$C$2:$C$1001,"Received",Log!$A$2:$A$1001,"&gt;"&amp;AA68)-SUMIFS(Log!$D$2:$D$1001,Log!$B$2:$B$1001,A68,Log!$C$2:$C$1001,"Used",Log!$A$2:$A$1001,"&gt;"&amp;AA68)+SUMIFS(Log!$D$2:$D$1001,Log!$B$2:$B$1001,A68,Log!$C$2:$C$1001,"Adjustment",Log!$A$2:$A$1001,"&gt;"&amp;AA68)))</f>
        <v/>
      </c>
      <c r="D68" s="32">
        <f>IF(A68="","",IF(X68&lt;&gt;"",X68,W68))</f>
        <v/>
      </c>
      <c r="E68" s="33">
        <f>IF(OR(A68="",N(O68)=0),"",C68/O68)</f>
        <v/>
      </c>
      <c r="F68" s="31">
        <f>IF(A68="","",MAX(0,N(T68)-SUMIFS(Log!$D$2:$D$1001,Log!$B$2:$B$1001,A68,Log!$C$2:$C$1001,"Received",Log!$A$2:$A$1001,"&gt;="&amp;N(U68))))</f>
        <v/>
      </c>
      <c r="G68" s="24" t="n"/>
      <c r="H68" s="24" t="n"/>
      <c r="I68" s="24" t="n"/>
      <c r="J68" s="24" t="n"/>
      <c r="K68" s="24" t="n"/>
      <c r="L68" s="34" t="n"/>
      <c r="M68" s="24" t="n"/>
      <c r="N68" s="24" t="n"/>
      <c r="O68" s="35" t="n"/>
      <c r="P68" s="25" t="n"/>
      <c r="Q68" s="36">
        <f>IF(A68="","",IF(P68&lt;&gt;"",P68,IFERROR(IF(N(INDEX(Suppliers!$E$5:$E$24,MATCH(H68,Suppliers!$B$5:$B$24,0)))&gt;0,INDEX(Suppliers!$E$5:$E$24,MATCH(H68,Suppliers!$B$5:$B$24,0)),5),5)))</f>
        <v/>
      </c>
      <c r="R68" s="35" t="n"/>
      <c r="S68" s="37" t="n"/>
      <c r="T68" s="25" t="n"/>
      <c r="U68" s="37" t="n"/>
      <c r="V68" s="37" t="n"/>
      <c r="W68" s="36">
        <f>IF(A68="","",ROUNDUP(N(O68)*(Q68/7+Settings!$C$5),0))</f>
        <v/>
      </c>
      <c r="X68" s="25" t="n"/>
      <c r="Y68" s="25" t="n"/>
      <c r="Z68" s="32">
        <f>IF(A68="","",IF(Y68&lt;&gt;"",Y68,MAX(1,ROUNDUP(N(O68)*Settings!$C$7,0))))</f>
        <v/>
      </c>
      <c r="AA68" s="38">
        <f>IF(A68="","",MAX(N(S68),_xlfn.MAXIFS(Log!$A$2:$A$1001,Log!$B$2:$B$1001,A68,Log!$C$2:$C$1001,"Count")))</f>
        <v/>
      </c>
      <c r="AB68" s="39">
        <f>IF(A68="","",Z68*N(L68))</f>
        <v/>
      </c>
      <c r="AC68" s="40">
        <f>IF(A68="","",N(O68)*52*N(L68))</f>
        <v/>
      </c>
      <c r="AD68" s="39">
        <f>IF(A68="","",C68*N(L68))</f>
        <v/>
      </c>
      <c r="AE68" s="41">
        <f>IF(A68="",0,IF(AND(OR(B68="Order now",B68="Critical"),F68=0),1,0))</f>
        <v/>
      </c>
      <c r="AF68" s="41">
        <f>IF(AE68=1,IFERROR(MATCH(H68,Suppliers!$B$5:$B$24,0),99)*1000+ROW(),"")</f>
        <v/>
      </c>
      <c r="AG68" s="41">
        <f>IF(AF68="","",COUNTIF('Stock list'!$AF$2:$AF$301,"&lt;"&amp;AF68)+1)</f>
        <v/>
      </c>
      <c r="AH68" s="41">
        <f>IF(A68="",0,IF(OR(AA68=0,AND(B68="OK",OR(C68&lt;=D68+N(O68)*Settings!$C$6,Settings!$C$10-AA68&gt;Settings!$C$8*7))),1,0))</f>
        <v/>
      </c>
      <c r="AI68" s="41">
        <f>IF(AH68=0,"",IF(AA68=0,"Never counted",IF(C68&lt;=D68+N(O68)*Settings!$C$6,"Near the reorder point","Not counted for "&amp;INT((Settings!$C$10-AA68)/7)&amp;" weeks")))</f>
        <v/>
      </c>
      <c r="AJ68" s="41">
        <f>IF(AH68=1,IFERROR(MATCH(M68,Settings!$G$19:$G$38,0),99)*1000+ROW(),"")</f>
        <v/>
      </c>
      <c r="AK68" s="41">
        <f>IF(AJ68="","",COUNTIF('Stock list'!$AJ$2:$AJ$301,"&lt;"&amp;AJ68)+1)</f>
        <v/>
      </c>
      <c r="AL68" s="41">
        <f>IF(OR(A68="",N(AC68)=0),"",AC68+ROW()/1000000)</f>
        <v/>
      </c>
    </row>
    <row r="69">
      <c r="A69" s="24" t="n"/>
      <c r="B69" s="30">
        <f>IF(A69="","",IF(AA69=0,"No count",IF(AND(N(O69)&gt;0,C69/O69*7&lt;Q69),"Critical",IF(F69&gt;0,"On order",IF(AND(D69&gt;0,C69&lt;=D69),"Order now","OK")))))</f>
        <v/>
      </c>
      <c r="C69" s="31">
        <f>IF(A69="","",MAX(0,IF(_xlfn.MAXIFS(Log!$A$2:$A$1001,Log!$B$2:$B$1001,A69,Log!$C$2:$C$1001,"Count")&gt;N(S69),_xlfn.MAXIFS(Log!$D$2:$D$1001,Log!$B$2:$B$1001,A69,Log!$C$2:$C$1001,"Count",Log!$A$2:$A$1001,AA69),N(R69))+SUMIFS(Log!$D$2:$D$1001,Log!$B$2:$B$1001,A69,Log!$C$2:$C$1001,"Received",Log!$A$2:$A$1001,"&gt;"&amp;AA69)-SUMIFS(Log!$D$2:$D$1001,Log!$B$2:$B$1001,A69,Log!$C$2:$C$1001,"Used",Log!$A$2:$A$1001,"&gt;"&amp;AA69)+SUMIFS(Log!$D$2:$D$1001,Log!$B$2:$B$1001,A69,Log!$C$2:$C$1001,"Adjustment",Log!$A$2:$A$1001,"&gt;"&amp;AA69)))</f>
        <v/>
      </c>
      <c r="D69" s="32">
        <f>IF(A69="","",IF(X69&lt;&gt;"",X69,W69))</f>
        <v/>
      </c>
      <c r="E69" s="33">
        <f>IF(OR(A69="",N(O69)=0),"",C69/O69)</f>
        <v/>
      </c>
      <c r="F69" s="31">
        <f>IF(A69="","",MAX(0,N(T69)-SUMIFS(Log!$D$2:$D$1001,Log!$B$2:$B$1001,A69,Log!$C$2:$C$1001,"Received",Log!$A$2:$A$1001,"&gt;="&amp;N(U69))))</f>
        <v/>
      </c>
      <c r="G69" s="24" t="n"/>
      <c r="H69" s="24" t="n"/>
      <c r="I69" s="24" t="n"/>
      <c r="J69" s="24" t="n"/>
      <c r="K69" s="24" t="n"/>
      <c r="L69" s="34" t="n"/>
      <c r="M69" s="24" t="n"/>
      <c r="N69" s="24" t="n"/>
      <c r="O69" s="35" t="n"/>
      <c r="P69" s="25" t="n"/>
      <c r="Q69" s="36">
        <f>IF(A69="","",IF(P69&lt;&gt;"",P69,IFERROR(IF(N(INDEX(Suppliers!$E$5:$E$24,MATCH(H69,Suppliers!$B$5:$B$24,0)))&gt;0,INDEX(Suppliers!$E$5:$E$24,MATCH(H69,Suppliers!$B$5:$B$24,0)),5),5)))</f>
        <v/>
      </c>
      <c r="R69" s="35" t="n"/>
      <c r="S69" s="37" t="n"/>
      <c r="T69" s="25" t="n"/>
      <c r="U69" s="37" t="n"/>
      <c r="V69" s="37" t="n"/>
      <c r="W69" s="36">
        <f>IF(A69="","",ROUNDUP(N(O69)*(Q69/7+Settings!$C$5),0))</f>
        <v/>
      </c>
      <c r="X69" s="25" t="n"/>
      <c r="Y69" s="25" t="n"/>
      <c r="Z69" s="32">
        <f>IF(A69="","",IF(Y69&lt;&gt;"",Y69,MAX(1,ROUNDUP(N(O69)*Settings!$C$7,0))))</f>
        <v/>
      </c>
      <c r="AA69" s="38">
        <f>IF(A69="","",MAX(N(S69),_xlfn.MAXIFS(Log!$A$2:$A$1001,Log!$B$2:$B$1001,A69,Log!$C$2:$C$1001,"Count")))</f>
        <v/>
      </c>
      <c r="AB69" s="39">
        <f>IF(A69="","",Z69*N(L69))</f>
        <v/>
      </c>
      <c r="AC69" s="40">
        <f>IF(A69="","",N(O69)*52*N(L69))</f>
        <v/>
      </c>
      <c r="AD69" s="39">
        <f>IF(A69="","",C69*N(L69))</f>
        <v/>
      </c>
      <c r="AE69" s="41">
        <f>IF(A69="",0,IF(AND(OR(B69="Order now",B69="Critical"),F69=0),1,0))</f>
        <v/>
      </c>
      <c r="AF69" s="41">
        <f>IF(AE69=1,IFERROR(MATCH(H69,Suppliers!$B$5:$B$24,0),99)*1000+ROW(),"")</f>
        <v/>
      </c>
      <c r="AG69" s="41">
        <f>IF(AF69="","",COUNTIF('Stock list'!$AF$2:$AF$301,"&lt;"&amp;AF69)+1)</f>
        <v/>
      </c>
      <c r="AH69" s="41">
        <f>IF(A69="",0,IF(OR(AA69=0,AND(B69="OK",OR(C69&lt;=D69+N(O69)*Settings!$C$6,Settings!$C$10-AA69&gt;Settings!$C$8*7))),1,0))</f>
        <v/>
      </c>
      <c r="AI69" s="41">
        <f>IF(AH69=0,"",IF(AA69=0,"Never counted",IF(C69&lt;=D69+N(O69)*Settings!$C$6,"Near the reorder point","Not counted for "&amp;INT((Settings!$C$10-AA69)/7)&amp;" weeks")))</f>
        <v/>
      </c>
      <c r="AJ69" s="41">
        <f>IF(AH69=1,IFERROR(MATCH(M69,Settings!$G$19:$G$38,0),99)*1000+ROW(),"")</f>
        <v/>
      </c>
      <c r="AK69" s="41">
        <f>IF(AJ69="","",COUNTIF('Stock list'!$AJ$2:$AJ$301,"&lt;"&amp;AJ69)+1)</f>
        <v/>
      </c>
      <c r="AL69" s="41">
        <f>IF(OR(A69="",N(AC69)=0),"",AC69+ROW()/1000000)</f>
        <v/>
      </c>
    </row>
    <row r="70">
      <c r="A70" s="24" t="n"/>
      <c r="B70" s="30">
        <f>IF(A70="","",IF(AA70=0,"No count",IF(AND(N(O70)&gt;0,C70/O70*7&lt;Q70),"Critical",IF(F70&gt;0,"On order",IF(AND(D70&gt;0,C70&lt;=D70),"Order now","OK")))))</f>
        <v/>
      </c>
      <c r="C70" s="31">
        <f>IF(A70="","",MAX(0,IF(_xlfn.MAXIFS(Log!$A$2:$A$1001,Log!$B$2:$B$1001,A70,Log!$C$2:$C$1001,"Count")&gt;N(S70),_xlfn.MAXIFS(Log!$D$2:$D$1001,Log!$B$2:$B$1001,A70,Log!$C$2:$C$1001,"Count",Log!$A$2:$A$1001,AA70),N(R70))+SUMIFS(Log!$D$2:$D$1001,Log!$B$2:$B$1001,A70,Log!$C$2:$C$1001,"Received",Log!$A$2:$A$1001,"&gt;"&amp;AA70)-SUMIFS(Log!$D$2:$D$1001,Log!$B$2:$B$1001,A70,Log!$C$2:$C$1001,"Used",Log!$A$2:$A$1001,"&gt;"&amp;AA70)+SUMIFS(Log!$D$2:$D$1001,Log!$B$2:$B$1001,A70,Log!$C$2:$C$1001,"Adjustment",Log!$A$2:$A$1001,"&gt;"&amp;AA70)))</f>
        <v/>
      </c>
      <c r="D70" s="32">
        <f>IF(A70="","",IF(X70&lt;&gt;"",X70,W70))</f>
        <v/>
      </c>
      <c r="E70" s="33">
        <f>IF(OR(A70="",N(O70)=0),"",C70/O70)</f>
        <v/>
      </c>
      <c r="F70" s="31">
        <f>IF(A70="","",MAX(0,N(T70)-SUMIFS(Log!$D$2:$D$1001,Log!$B$2:$B$1001,A70,Log!$C$2:$C$1001,"Received",Log!$A$2:$A$1001,"&gt;="&amp;N(U70))))</f>
        <v/>
      </c>
      <c r="G70" s="24" t="n"/>
      <c r="H70" s="24" t="n"/>
      <c r="I70" s="24" t="n"/>
      <c r="J70" s="24" t="n"/>
      <c r="K70" s="24" t="n"/>
      <c r="L70" s="34" t="n"/>
      <c r="M70" s="24" t="n"/>
      <c r="N70" s="24" t="n"/>
      <c r="O70" s="35" t="n"/>
      <c r="P70" s="25" t="n"/>
      <c r="Q70" s="36">
        <f>IF(A70="","",IF(P70&lt;&gt;"",P70,IFERROR(IF(N(INDEX(Suppliers!$E$5:$E$24,MATCH(H70,Suppliers!$B$5:$B$24,0)))&gt;0,INDEX(Suppliers!$E$5:$E$24,MATCH(H70,Suppliers!$B$5:$B$24,0)),5),5)))</f>
        <v/>
      </c>
      <c r="R70" s="35" t="n"/>
      <c r="S70" s="37" t="n"/>
      <c r="T70" s="25" t="n"/>
      <c r="U70" s="37" t="n"/>
      <c r="V70" s="37" t="n"/>
      <c r="W70" s="36">
        <f>IF(A70="","",ROUNDUP(N(O70)*(Q70/7+Settings!$C$5),0))</f>
        <v/>
      </c>
      <c r="X70" s="25" t="n"/>
      <c r="Y70" s="25" t="n"/>
      <c r="Z70" s="32">
        <f>IF(A70="","",IF(Y70&lt;&gt;"",Y70,MAX(1,ROUNDUP(N(O70)*Settings!$C$7,0))))</f>
        <v/>
      </c>
      <c r="AA70" s="38">
        <f>IF(A70="","",MAX(N(S70),_xlfn.MAXIFS(Log!$A$2:$A$1001,Log!$B$2:$B$1001,A70,Log!$C$2:$C$1001,"Count")))</f>
        <v/>
      </c>
      <c r="AB70" s="39">
        <f>IF(A70="","",Z70*N(L70))</f>
        <v/>
      </c>
      <c r="AC70" s="40">
        <f>IF(A70="","",N(O70)*52*N(L70))</f>
        <v/>
      </c>
      <c r="AD70" s="39">
        <f>IF(A70="","",C70*N(L70))</f>
        <v/>
      </c>
      <c r="AE70" s="41">
        <f>IF(A70="",0,IF(AND(OR(B70="Order now",B70="Critical"),F70=0),1,0))</f>
        <v/>
      </c>
      <c r="AF70" s="41">
        <f>IF(AE70=1,IFERROR(MATCH(H70,Suppliers!$B$5:$B$24,0),99)*1000+ROW(),"")</f>
        <v/>
      </c>
      <c r="AG70" s="41">
        <f>IF(AF70="","",COUNTIF('Stock list'!$AF$2:$AF$301,"&lt;"&amp;AF70)+1)</f>
        <v/>
      </c>
      <c r="AH70" s="41">
        <f>IF(A70="",0,IF(OR(AA70=0,AND(B70="OK",OR(C70&lt;=D70+N(O70)*Settings!$C$6,Settings!$C$10-AA70&gt;Settings!$C$8*7))),1,0))</f>
        <v/>
      </c>
      <c r="AI70" s="41">
        <f>IF(AH70=0,"",IF(AA70=0,"Never counted",IF(C70&lt;=D70+N(O70)*Settings!$C$6,"Near the reorder point","Not counted for "&amp;INT((Settings!$C$10-AA70)/7)&amp;" weeks")))</f>
        <v/>
      </c>
      <c r="AJ70" s="41">
        <f>IF(AH70=1,IFERROR(MATCH(M70,Settings!$G$19:$G$38,0),99)*1000+ROW(),"")</f>
        <v/>
      </c>
      <c r="AK70" s="41">
        <f>IF(AJ70="","",COUNTIF('Stock list'!$AJ$2:$AJ$301,"&lt;"&amp;AJ70)+1)</f>
        <v/>
      </c>
      <c r="AL70" s="41">
        <f>IF(OR(A70="",N(AC70)=0),"",AC70+ROW()/1000000)</f>
        <v/>
      </c>
    </row>
    <row r="71">
      <c r="A71" s="24" t="n"/>
      <c r="B71" s="30">
        <f>IF(A71="","",IF(AA71=0,"No count",IF(AND(N(O71)&gt;0,C71/O71*7&lt;Q71),"Critical",IF(F71&gt;0,"On order",IF(AND(D71&gt;0,C71&lt;=D71),"Order now","OK")))))</f>
        <v/>
      </c>
      <c r="C71" s="31">
        <f>IF(A71="","",MAX(0,IF(_xlfn.MAXIFS(Log!$A$2:$A$1001,Log!$B$2:$B$1001,A71,Log!$C$2:$C$1001,"Count")&gt;N(S71),_xlfn.MAXIFS(Log!$D$2:$D$1001,Log!$B$2:$B$1001,A71,Log!$C$2:$C$1001,"Count",Log!$A$2:$A$1001,AA71),N(R71))+SUMIFS(Log!$D$2:$D$1001,Log!$B$2:$B$1001,A71,Log!$C$2:$C$1001,"Received",Log!$A$2:$A$1001,"&gt;"&amp;AA71)-SUMIFS(Log!$D$2:$D$1001,Log!$B$2:$B$1001,A71,Log!$C$2:$C$1001,"Used",Log!$A$2:$A$1001,"&gt;"&amp;AA71)+SUMIFS(Log!$D$2:$D$1001,Log!$B$2:$B$1001,A71,Log!$C$2:$C$1001,"Adjustment",Log!$A$2:$A$1001,"&gt;"&amp;AA71)))</f>
        <v/>
      </c>
      <c r="D71" s="32">
        <f>IF(A71="","",IF(X71&lt;&gt;"",X71,W71))</f>
        <v/>
      </c>
      <c r="E71" s="33">
        <f>IF(OR(A71="",N(O71)=0),"",C71/O71)</f>
        <v/>
      </c>
      <c r="F71" s="31">
        <f>IF(A71="","",MAX(0,N(T71)-SUMIFS(Log!$D$2:$D$1001,Log!$B$2:$B$1001,A71,Log!$C$2:$C$1001,"Received",Log!$A$2:$A$1001,"&gt;="&amp;N(U71))))</f>
        <v/>
      </c>
      <c r="G71" s="24" t="n"/>
      <c r="H71" s="24" t="n"/>
      <c r="I71" s="24" t="n"/>
      <c r="J71" s="24" t="n"/>
      <c r="K71" s="24" t="n"/>
      <c r="L71" s="34" t="n"/>
      <c r="M71" s="24" t="n"/>
      <c r="N71" s="24" t="n"/>
      <c r="O71" s="35" t="n"/>
      <c r="P71" s="25" t="n"/>
      <c r="Q71" s="36">
        <f>IF(A71="","",IF(P71&lt;&gt;"",P71,IFERROR(IF(N(INDEX(Suppliers!$E$5:$E$24,MATCH(H71,Suppliers!$B$5:$B$24,0)))&gt;0,INDEX(Suppliers!$E$5:$E$24,MATCH(H71,Suppliers!$B$5:$B$24,0)),5),5)))</f>
        <v/>
      </c>
      <c r="R71" s="35" t="n"/>
      <c r="S71" s="37" t="n"/>
      <c r="T71" s="25" t="n"/>
      <c r="U71" s="37" t="n"/>
      <c r="V71" s="37" t="n"/>
      <c r="W71" s="36">
        <f>IF(A71="","",ROUNDUP(N(O71)*(Q71/7+Settings!$C$5),0))</f>
        <v/>
      </c>
      <c r="X71" s="25" t="n"/>
      <c r="Y71" s="25" t="n"/>
      <c r="Z71" s="32">
        <f>IF(A71="","",IF(Y71&lt;&gt;"",Y71,MAX(1,ROUNDUP(N(O71)*Settings!$C$7,0))))</f>
        <v/>
      </c>
      <c r="AA71" s="38">
        <f>IF(A71="","",MAX(N(S71),_xlfn.MAXIFS(Log!$A$2:$A$1001,Log!$B$2:$B$1001,A71,Log!$C$2:$C$1001,"Count")))</f>
        <v/>
      </c>
      <c r="AB71" s="39">
        <f>IF(A71="","",Z71*N(L71))</f>
        <v/>
      </c>
      <c r="AC71" s="40">
        <f>IF(A71="","",N(O71)*52*N(L71))</f>
        <v/>
      </c>
      <c r="AD71" s="39">
        <f>IF(A71="","",C71*N(L71))</f>
        <v/>
      </c>
      <c r="AE71" s="41">
        <f>IF(A71="",0,IF(AND(OR(B71="Order now",B71="Critical"),F71=0),1,0))</f>
        <v/>
      </c>
      <c r="AF71" s="41">
        <f>IF(AE71=1,IFERROR(MATCH(H71,Suppliers!$B$5:$B$24,0),99)*1000+ROW(),"")</f>
        <v/>
      </c>
      <c r="AG71" s="41">
        <f>IF(AF71="","",COUNTIF('Stock list'!$AF$2:$AF$301,"&lt;"&amp;AF71)+1)</f>
        <v/>
      </c>
      <c r="AH71" s="41">
        <f>IF(A71="",0,IF(OR(AA71=0,AND(B71="OK",OR(C71&lt;=D71+N(O71)*Settings!$C$6,Settings!$C$10-AA71&gt;Settings!$C$8*7))),1,0))</f>
        <v/>
      </c>
      <c r="AI71" s="41">
        <f>IF(AH71=0,"",IF(AA71=0,"Never counted",IF(C71&lt;=D71+N(O71)*Settings!$C$6,"Near the reorder point","Not counted for "&amp;INT((Settings!$C$10-AA71)/7)&amp;" weeks")))</f>
        <v/>
      </c>
      <c r="AJ71" s="41">
        <f>IF(AH71=1,IFERROR(MATCH(M71,Settings!$G$19:$G$38,0),99)*1000+ROW(),"")</f>
        <v/>
      </c>
      <c r="AK71" s="41">
        <f>IF(AJ71="","",COUNTIF('Stock list'!$AJ$2:$AJ$301,"&lt;"&amp;AJ71)+1)</f>
        <v/>
      </c>
      <c r="AL71" s="41">
        <f>IF(OR(A71="",N(AC71)=0),"",AC71+ROW()/1000000)</f>
        <v/>
      </c>
    </row>
    <row r="72">
      <c r="A72" s="24" t="n"/>
      <c r="B72" s="30">
        <f>IF(A72="","",IF(AA72=0,"No count",IF(AND(N(O72)&gt;0,C72/O72*7&lt;Q72),"Critical",IF(F72&gt;0,"On order",IF(AND(D72&gt;0,C72&lt;=D72),"Order now","OK")))))</f>
        <v/>
      </c>
      <c r="C72" s="31">
        <f>IF(A72="","",MAX(0,IF(_xlfn.MAXIFS(Log!$A$2:$A$1001,Log!$B$2:$B$1001,A72,Log!$C$2:$C$1001,"Count")&gt;N(S72),_xlfn.MAXIFS(Log!$D$2:$D$1001,Log!$B$2:$B$1001,A72,Log!$C$2:$C$1001,"Count",Log!$A$2:$A$1001,AA72),N(R72))+SUMIFS(Log!$D$2:$D$1001,Log!$B$2:$B$1001,A72,Log!$C$2:$C$1001,"Received",Log!$A$2:$A$1001,"&gt;"&amp;AA72)-SUMIFS(Log!$D$2:$D$1001,Log!$B$2:$B$1001,A72,Log!$C$2:$C$1001,"Used",Log!$A$2:$A$1001,"&gt;"&amp;AA72)+SUMIFS(Log!$D$2:$D$1001,Log!$B$2:$B$1001,A72,Log!$C$2:$C$1001,"Adjustment",Log!$A$2:$A$1001,"&gt;"&amp;AA72)))</f>
        <v/>
      </c>
      <c r="D72" s="32">
        <f>IF(A72="","",IF(X72&lt;&gt;"",X72,W72))</f>
        <v/>
      </c>
      <c r="E72" s="33">
        <f>IF(OR(A72="",N(O72)=0),"",C72/O72)</f>
        <v/>
      </c>
      <c r="F72" s="31">
        <f>IF(A72="","",MAX(0,N(T72)-SUMIFS(Log!$D$2:$D$1001,Log!$B$2:$B$1001,A72,Log!$C$2:$C$1001,"Received",Log!$A$2:$A$1001,"&gt;="&amp;N(U72))))</f>
        <v/>
      </c>
      <c r="G72" s="24" t="n"/>
      <c r="H72" s="24" t="n"/>
      <c r="I72" s="24" t="n"/>
      <c r="J72" s="24" t="n"/>
      <c r="K72" s="24" t="n"/>
      <c r="L72" s="34" t="n"/>
      <c r="M72" s="24" t="n"/>
      <c r="N72" s="24" t="n"/>
      <c r="O72" s="35" t="n"/>
      <c r="P72" s="25" t="n"/>
      <c r="Q72" s="36">
        <f>IF(A72="","",IF(P72&lt;&gt;"",P72,IFERROR(IF(N(INDEX(Suppliers!$E$5:$E$24,MATCH(H72,Suppliers!$B$5:$B$24,0)))&gt;0,INDEX(Suppliers!$E$5:$E$24,MATCH(H72,Suppliers!$B$5:$B$24,0)),5),5)))</f>
        <v/>
      </c>
      <c r="R72" s="35" t="n"/>
      <c r="S72" s="37" t="n"/>
      <c r="T72" s="25" t="n"/>
      <c r="U72" s="37" t="n"/>
      <c r="V72" s="37" t="n"/>
      <c r="W72" s="36">
        <f>IF(A72="","",ROUNDUP(N(O72)*(Q72/7+Settings!$C$5),0))</f>
        <v/>
      </c>
      <c r="X72" s="25" t="n"/>
      <c r="Y72" s="25" t="n"/>
      <c r="Z72" s="32">
        <f>IF(A72="","",IF(Y72&lt;&gt;"",Y72,MAX(1,ROUNDUP(N(O72)*Settings!$C$7,0))))</f>
        <v/>
      </c>
      <c r="AA72" s="38">
        <f>IF(A72="","",MAX(N(S72),_xlfn.MAXIFS(Log!$A$2:$A$1001,Log!$B$2:$B$1001,A72,Log!$C$2:$C$1001,"Count")))</f>
        <v/>
      </c>
      <c r="AB72" s="39">
        <f>IF(A72="","",Z72*N(L72))</f>
        <v/>
      </c>
      <c r="AC72" s="40">
        <f>IF(A72="","",N(O72)*52*N(L72))</f>
        <v/>
      </c>
      <c r="AD72" s="39">
        <f>IF(A72="","",C72*N(L72))</f>
        <v/>
      </c>
      <c r="AE72" s="41">
        <f>IF(A72="",0,IF(AND(OR(B72="Order now",B72="Critical"),F72=0),1,0))</f>
        <v/>
      </c>
      <c r="AF72" s="41">
        <f>IF(AE72=1,IFERROR(MATCH(H72,Suppliers!$B$5:$B$24,0),99)*1000+ROW(),"")</f>
        <v/>
      </c>
      <c r="AG72" s="41">
        <f>IF(AF72="","",COUNTIF('Stock list'!$AF$2:$AF$301,"&lt;"&amp;AF72)+1)</f>
        <v/>
      </c>
      <c r="AH72" s="41">
        <f>IF(A72="",0,IF(OR(AA72=0,AND(B72="OK",OR(C72&lt;=D72+N(O72)*Settings!$C$6,Settings!$C$10-AA72&gt;Settings!$C$8*7))),1,0))</f>
        <v/>
      </c>
      <c r="AI72" s="41">
        <f>IF(AH72=0,"",IF(AA72=0,"Never counted",IF(C72&lt;=D72+N(O72)*Settings!$C$6,"Near the reorder point","Not counted for "&amp;INT((Settings!$C$10-AA72)/7)&amp;" weeks")))</f>
        <v/>
      </c>
      <c r="AJ72" s="41">
        <f>IF(AH72=1,IFERROR(MATCH(M72,Settings!$G$19:$G$38,0),99)*1000+ROW(),"")</f>
        <v/>
      </c>
      <c r="AK72" s="41">
        <f>IF(AJ72="","",COUNTIF('Stock list'!$AJ$2:$AJ$301,"&lt;"&amp;AJ72)+1)</f>
        <v/>
      </c>
      <c r="AL72" s="41">
        <f>IF(OR(A72="",N(AC72)=0),"",AC72+ROW()/1000000)</f>
        <v/>
      </c>
    </row>
    <row r="73">
      <c r="A73" s="24" t="n"/>
      <c r="B73" s="30">
        <f>IF(A73="","",IF(AA73=0,"No count",IF(AND(N(O73)&gt;0,C73/O73*7&lt;Q73),"Critical",IF(F73&gt;0,"On order",IF(AND(D73&gt;0,C73&lt;=D73),"Order now","OK")))))</f>
        <v/>
      </c>
      <c r="C73" s="31">
        <f>IF(A73="","",MAX(0,IF(_xlfn.MAXIFS(Log!$A$2:$A$1001,Log!$B$2:$B$1001,A73,Log!$C$2:$C$1001,"Count")&gt;N(S73),_xlfn.MAXIFS(Log!$D$2:$D$1001,Log!$B$2:$B$1001,A73,Log!$C$2:$C$1001,"Count",Log!$A$2:$A$1001,AA73),N(R73))+SUMIFS(Log!$D$2:$D$1001,Log!$B$2:$B$1001,A73,Log!$C$2:$C$1001,"Received",Log!$A$2:$A$1001,"&gt;"&amp;AA73)-SUMIFS(Log!$D$2:$D$1001,Log!$B$2:$B$1001,A73,Log!$C$2:$C$1001,"Used",Log!$A$2:$A$1001,"&gt;"&amp;AA73)+SUMIFS(Log!$D$2:$D$1001,Log!$B$2:$B$1001,A73,Log!$C$2:$C$1001,"Adjustment",Log!$A$2:$A$1001,"&gt;"&amp;AA73)))</f>
        <v/>
      </c>
      <c r="D73" s="32">
        <f>IF(A73="","",IF(X73&lt;&gt;"",X73,W73))</f>
        <v/>
      </c>
      <c r="E73" s="33">
        <f>IF(OR(A73="",N(O73)=0),"",C73/O73)</f>
        <v/>
      </c>
      <c r="F73" s="31">
        <f>IF(A73="","",MAX(0,N(T73)-SUMIFS(Log!$D$2:$D$1001,Log!$B$2:$B$1001,A73,Log!$C$2:$C$1001,"Received",Log!$A$2:$A$1001,"&gt;="&amp;N(U73))))</f>
        <v/>
      </c>
      <c r="G73" s="24" t="n"/>
      <c r="H73" s="24" t="n"/>
      <c r="I73" s="24" t="n"/>
      <c r="J73" s="24" t="n"/>
      <c r="K73" s="24" t="n"/>
      <c r="L73" s="34" t="n"/>
      <c r="M73" s="24" t="n"/>
      <c r="N73" s="24" t="n"/>
      <c r="O73" s="35" t="n"/>
      <c r="P73" s="25" t="n"/>
      <c r="Q73" s="36">
        <f>IF(A73="","",IF(P73&lt;&gt;"",P73,IFERROR(IF(N(INDEX(Suppliers!$E$5:$E$24,MATCH(H73,Suppliers!$B$5:$B$24,0)))&gt;0,INDEX(Suppliers!$E$5:$E$24,MATCH(H73,Suppliers!$B$5:$B$24,0)),5),5)))</f>
        <v/>
      </c>
      <c r="R73" s="35" t="n"/>
      <c r="S73" s="37" t="n"/>
      <c r="T73" s="25" t="n"/>
      <c r="U73" s="37" t="n"/>
      <c r="V73" s="37" t="n"/>
      <c r="W73" s="36">
        <f>IF(A73="","",ROUNDUP(N(O73)*(Q73/7+Settings!$C$5),0))</f>
        <v/>
      </c>
      <c r="X73" s="25" t="n"/>
      <c r="Y73" s="25" t="n"/>
      <c r="Z73" s="32">
        <f>IF(A73="","",IF(Y73&lt;&gt;"",Y73,MAX(1,ROUNDUP(N(O73)*Settings!$C$7,0))))</f>
        <v/>
      </c>
      <c r="AA73" s="38">
        <f>IF(A73="","",MAX(N(S73),_xlfn.MAXIFS(Log!$A$2:$A$1001,Log!$B$2:$B$1001,A73,Log!$C$2:$C$1001,"Count")))</f>
        <v/>
      </c>
      <c r="AB73" s="39">
        <f>IF(A73="","",Z73*N(L73))</f>
        <v/>
      </c>
      <c r="AC73" s="40">
        <f>IF(A73="","",N(O73)*52*N(L73))</f>
        <v/>
      </c>
      <c r="AD73" s="39">
        <f>IF(A73="","",C73*N(L73))</f>
        <v/>
      </c>
      <c r="AE73" s="41">
        <f>IF(A73="",0,IF(AND(OR(B73="Order now",B73="Critical"),F73=0),1,0))</f>
        <v/>
      </c>
      <c r="AF73" s="41">
        <f>IF(AE73=1,IFERROR(MATCH(H73,Suppliers!$B$5:$B$24,0),99)*1000+ROW(),"")</f>
        <v/>
      </c>
      <c r="AG73" s="41">
        <f>IF(AF73="","",COUNTIF('Stock list'!$AF$2:$AF$301,"&lt;"&amp;AF73)+1)</f>
        <v/>
      </c>
      <c r="AH73" s="41">
        <f>IF(A73="",0,IF(OR(AA73=0,AND(B73="OK",OR(C73&lt;=D73+N(O73)*Settings!$C$6,Settings!$C$10-AA73&gt;Settings!$C$8*7))),1,0))</f>
        <v/>
      </c>
      <c r="AI73" s="41">
        <f>IF(AH73=0,"",IF(AA73=0,"Never counted",IF(C73&lt;=D73+N(O73)*Settings!$C$6,"Near the reorder point","Not counted for "&amp;INT((Settings!$C$10-AA73)/7)&amp;" weeks")))</f>
        <v/>
      </c>
      <c r="AJ73" s="41">
        <f>IF(AH73=1,IFERROR(MATCH(M73,Settings!$G$19:$G$38,0),99)*1000+ROW(),"")</f>
        <v/>
      </c>
      <c r="AK73" s="41">
        <f>IF(AJ73="","",COUNTIF('Stock list'!$AJ$2:$AJ$301,"&lt;"&amp;AJ73)+1)</f>
        <v/>
      </c>
      <c r="AL73" s="41">
        <f>IF(OR(A73="",N(AC73)=0),"",AC73+ROW()/1000000)</f>
        <v/>
      </c>
    </row>
    <row r="74">
      <c r="A74" s="24" t="n"/>
      <c r="B74" s="30">
        <f>IF(A74="","",IF(AA74=0,"No count",IF(AND(N(O74)&gt;0,C74/O74*7&lt;Q74),"Critical",IF(F74&gt;0,"On order",IF(AND(D74&gt;0,C74&lt;=D74),"Order now","OK")))))</f>
        <v/>
      </c>
      <c r="C74" s="31">
        <f>IF(A74="","",MAX(0,IF(_xlfn.MAXIFS(Log!$A$2:$A$1001,Log!$B$2:$B$1001,A74,Log!$C$2:$C$1001,"Count")&gt;N(S74),_xlfn.MAXIFS(Log!$D$2:$D$1001,Log!$B$2:$B$1001,A74,Log!$C$2:$C$1001,"Count",Log!$A$2:$A$1001,AA74),N(R74))+SUMIFS(Log!$D$2:$D$1001,Log!$B$2:$B$1001,A74,Log!$C$2:$C$1001,"Received",Log!$A$2:$A$1001,"&gt;"&amp;AA74)-SUMIFS(Log!$D$2:$D$1001,Log!$B$2:$B$1001,A74,Log!$C$2:$C$1001,"Used",Log!$A$2:$A$1001,"&gt;"&amp;AA74)+SUMIFS(Log!$D$2:$D$1001,Log!$B$2:$B$1001,A74,Log!$C$2:$C$1001,"Adjustment",Log!$A$2:$A$1001,"&gt;"&amp;AA74)))</f>
        <v/>
      </c>
      <c r="D74" s="32">
        <f>IF(A74="","",IF(X74&lt;&gt;"",X74,W74))</f>
        <v/>
      </c>
      <c r="E74" s="33">
        <f>IF(OR(A74="",N(O74)=0),"",C74/O74)</f>
        <v/>
      </c>
      <c r="F74" s="31">
        <f>IF(A74="","",MAX(0,N(T74)-SUMIFS(Log!$D$2:$D$1001,Log!$B$2:$B$1001,A74,Log!$C$2:$C$1001,"Received",Log!$A$2:$A$1001,"&gt;="&amp;N(U74))))</f>
        <v/>
      </c>
      <c r="G74" s="24" t="n"/>
      <c r="H74" s="24" t="n"/>
      <c r="I74" s="24" t="n"/>
      <c r="J74" s="24" t="n"/>
      <c r="K74" s="24" t="n"/>
      <c r="L74" s="34" t="n"/>
      <c r="M74" s="24" t="n"/>
      <c r="N74" s="24" t="n"/>
      <c r="O74" s="35" t="n"/>
      <c r="P74" s="25" t="n"/>
      <c r="Q74" s="36">
        <f>IF(A74="","",IF(P74&lt;&gt;"",P74,IFERROR(IF(N(INDEX(Suppliers!$E$5:$E$24,MATCH(H74,Suppliers!$B$5:$B$24,0)))&gt;0,INDEX(Suppliers!$E$5:$E$24,MATCH(H74,Suppliers!$B$5:$B$24,0)),5),5)))</f>
        <v/>
      </c>
      <c r="R74" s="35" t="n"/>
      <c r="S74" s="37" t="n"/>
      <c r="T74" s="25" t="n"/>
      <c r="U74" s="37" t="n"/>
      <c r="V74" s="37" t="n"/>
      <c r="W74" s="36">
        <f>IF(A74="","",ROUNDUP(N(O74)*(Q74/7+Settings!$C$5),0))</f>
        <v/>
      </c>
      <c r="X74" s="25" t="n"/>
      <c r="Y74" s="25" t="n"/>
      <c r="Z74" s="32">
        <f>IF(A74="","",IF(Y74&lt;&gt;"",Y74,MAX(1,ROUNDUP(N(O74)*Settings!$C$7,0))))</f>
        <v/>
      </c>
      <c r="AA74" s="38">
        <f>IF(A74="","",MAX(N(S74),_xlfn.MAXIFS(Log!$A$2:$A$1001,Log!$B$2:$B$1001,A74,Log!$C$2:$C$1001,"Count")))</f>
        <v/>
      </c>
      <c r="AB74" s="39">
        <f>IF(A74="","",Z74*N(L74))</f>
        <v/>
      </c>
      <c r="AC74" s="40">
        <f>IF(A74="","",N(O74)*52*N(L74))</f>
        <v/>
      </c>
      <c r="AD74" s="39">
        <f>IF(A74="","",C74*N(L74))</f>
        <v/>
      </c>
      <c r="AE74" s="41">
        <f>IF(A74="",0,IF(AND(OR(B74="Order now",B74="Critical"),F74=0),1,0))</f>
        <v/>
      </c>
      <c r="AF74" s="41">
        <f>IF(AE74=1,IFERROR(MATCH(H74,Suppliers!$B$5:$B$24,0),99)*1000+ROW(),"")</f>
        <v/>
      </c>
      <c r="AG74" s="41">
        <f>IF(AF74="","",COUNTIF('Stock list'!$AF$2:$AF$301,"&lt;"&amp;AF74)+1)</f>
        <v/>
      </c>
      <c r="AH74" s="41">
        <f>IF(A74="",0,IF(OR(AA74=0,AND(B74="OK",OR(C74&lt;=D74+N(O74)*Settings!$C$6,Settings!$C$10-AA74&gt;Settings!$C$8*7))),1,0))</f>
        <v/>
      </c>
      <c r="AI74" s="41">
        <f>IF(AH74=0,"",IF(AA74=0,"Never counted",IF(C74&lt;=D74+N(O74)*Settings!$C$6,"Near the reorder point","Not counted for "&amp;INT((Settings!$C$10-AA74)/7)&amp;" weeks")))</f>
        <v/>
      </c>
      <c r="AJ74" s="41">
        <f>IF(AH74=1,IFERROR(MATCH(M74,Settings!$G$19:$G$38,0),99)*1000+ROW(),"")</f>
        <v/>
      </c>
      <c r="AK74" s="41">
        <f>IF(AJ74="","",COUNTIF('Stock list'!$AJ$2:$AJ$301,"&lt;"&amp;AJ74)+1)</f>
        <v/>
      </c>
      <c r="AL74" s="41">
        <f>IF(OR(A74="",N(AC74)=0),"",AC74+ROW()/1000000)</f>
        <v/>
      </c>
    </row>
    <row r="75">
      <c r="A75" s="24" t="n"/>
      <c r="B75" s="30">
        <f>IF(A75="","",IF(AA75=0,"No count",IF(AND(N(O75)&gt;0,C75/O75*7&lt;Q75),"Critical",IF(F75&gt;0,"On order",IF(AND(D75&gt;0,C75&lt;=D75),"Order now","OK")))))</f>
        <v/>
      </c>
      <c r="C75" s="31">
        <f>IF(A75="","",MAX(0,IF(_xlfn.MAXIFS(Log!$A$2:$A$1001,Log!$B$2:$B$1001,A75,Log!$C$2:$C$1001,"Count")&gt;N(S75),_xlfn.MAXIFS(Log!$D$2:$D$1001,Log!$B$2:$B$1001,A75,Log!$C$2:$C$1001,"Count",Log!$A$2:$A$1001,AA75),N(R75))+SUMIFS(Log!$D$2:$D$1001,Log!$B$2:$B$1001,A75,Log!$C$2:$C$1001,"Received",Log!$A$2:$A$1001,"&gt;"&amp;AA75)-SUMIFS(Log!$D$2:$D$1001,Log!$B$2:$B$1001,A75,Log!$C$2:$C$1001,"Used",Log!$A$2:$A$1001,"&gt;"&amp;AA75)+SUMIFS(Log!$D$2:$D$1001,Log!$B$2:$B$1001,A75,Log!$C$2:$C$1001,"Adjustment",Log!$A$2:$A$1001,"&gt;"&amp;AA75)))</f>
        <v/>
      </c>
      <c r="D75" s="32">
        <f>IF(A75="","",IF(X75&lt;&gt;"",X75,W75))</f>
        <v/>
      </c>
      <c r="E75" s="33">
        <f>IF(OR(A75="",N(O75)=0),"",C75/O75)</f>
        <v/>
      </c>
      <c r="F75" s="31">
        <f>IF(A75="","",MAX(0,N(T75)-SUMIFS(Log!$D$2:$D$1001,Log!$B$2:$B$1001,A75,Log!$C$2:$C$1001,"Received",Log!$A$2:$A$1001,"&gt;="&amp;N(U75))))</f>
        <v/>
      </c>
      <c r="G75" s="24" t="n"/>
      <c r="H75" s="24" t="n"/>
      <c r="I75" s="24" t="n"/>
      <c r="J75" s="24" t="n"/>
      <c r="K75" s="24" t="n"/>
      <c r="L75" s="34" t="n"/>
      <c r="M75" s="24" t="n"/>
      <c r="N75" s="24" t="n"/>
      <c r="O75" s="35" t="n"/>
      <c r="P75" s="25" t="n"/>
      <c r="Q75" s="36">
        <f>IF(A75="","",IF(P75&lt;&gt;"",P75,IFERROR(IF(N(INDEX(Suppliers!$E$5:$E$24,MATCH(H75,Suppliers!$B$5:$B$24,0)))&gt;0,INDEX(Suppliers!$E$5:$E$24,MATCH(H75,Suppliers!$B$5:$B$24,0)),5),5)))</f>
        <v/>
      </c>
      <c r="R75" s="35" t="n"/>
      <c r="S75" s="37" t="n"/>
      <c r="T75" s="25" t="n"/>
      <c r="U75" s="37" t="n"/>
      <c r="V75" s="37" t="n"/>
      <c r="W75" s="36">
        <f>IF(A75="","",ROUNDUP(N(O75)*(Q75/7+Settings!$C$5),0))</f>
        <v/>
      </c>
      <c r="X75" s="25" t="n"/>
      <c r="Y75" s="25" t="n"/>
      <c r="Z75" s="32">
        <f>IF(A75="","",IF(Y75&lt;&gt;"",Y75,MAX(1,ROUNDUP(N(O75)*Settings!$C$7,0))))</f>
        <v/>
      </c>
      <c r="AA75" s="38">
        <f>IF(A75="","",MAX(N(S75),_xlfn.MAXIFS(Log!$A$2:$A$1001,Log!$B$2:$B$1001,A75,Log!$C$2:$C$1001,"Count")))</f>
        <v/>
      </c>
      <c r="AB75" s="39">
        <f>IF(A75="","",Z75*N(L75))</f>
        <v/>
      </c>
      <c r="AC75" s="40">
        <f>IF(A75="","",N(O75)*52*N(L75))</f>
        <v/>
      </c>
      <c r="AD75" s="39">
        <f>IF(A75="","",C75*N(L75))</f>
        <v/>
      </c>
      <c r="AE75" s="41">
        <f>IF(A75="",0,IF(AND(OR(B75="Order now",B75="Critical"),F75=0),1,0))</f>
        <v/>
      </c>
      <c r="AF75" s="41">
        <f>IF(AE75=1,IFERROR(MATCH(H75,Suppliers!$B$5:$B$24,0),99)*1000+ROW(),"")</f>
        <v/>
      </c>
      <c r="AG75" s="41">
        <f>IF(AF75="","",COUNTIF('Stock list'!$AF$2:$AF$301,"&lt;"&amp;AF75)+1)</f>
        <v/>
      </c>
      <c r="AH75" s="41">
        <f>IF(A75="",0,IF(OR(AA75=0,AND(B75="OK",OR(C75&lt;=D75+N(O75)*Settings!$C$6,Settings!$C$10-AA75&gt;Settings!$C$8*7))),1,0))</f>
        <v/>
      </c>
      <c r="AI75" s="41">
        <f>IF(AH75=0,"",IF(AA75=0,"Never counted",IF(C75&lt;=D75+N(O75)*Settings!$C$6,"Near the reorder point","Not counted for "&amp;INT((Settings!$C$10-AA75)/7)&amp;" weeks")))</f>
        <v/>
      </c>
      <c r="AJ75" s="41">
        <f>IF(AH75=1,IFERROR(MATCH(M75,Settings!$G$19:$G$38,0),99)*1000+ROW(),"")</f>
        <v/>
      </c>
      <c r="AK75" s="41">
        <f>IF(AJ75="","",COUNTIF('Stock list'!$AJ$2:$AJ$301,"&lt;"&amp;AJ75)+1)</f>
        <v/>
      </c>
      <c r="AL75" s="41">
        <f>IF(OR(A75="",N(AC75)=0),"",AC75+ROW()/1000000)</f>
        <v/>
      </c>
    </row>
    <row r="76">
      <c r="A76" s="24" t="n"/>
      <c r="B76" s="30">
        <f>IF(A76="","",IF(AA76=0,"No count",IF(AND(N(O76)&gt;0,C76/O76*7&lt;Q76),"Critical",IF(F76&gt;0,"On order",IF(AND(D76&gt;0,C76&lt;=D76),"Order now","OK")))))</f>
        <v/>
      </c>
      <c r="C76" s="31">
        <f>IF(A76="","",MAX(0,IF(_xlfn.MAXIFS(Log!$A$2:$A$1001,Log!$B$2:$B$1001,A76,Log!$C$2:$C$1001,"Count")&gt;N(S76),_xlfn.MAXIFS(Log!$D$2:$D$1001,Log!$B$2:$B$1001,A76,Log!$C$2:$C$1001,"Count",Log!$A$2:$A$1001,AA76),N(R76))+SUMIFS(Log!$D$2:$D$1001,Log!$B$2:$B$1001,A76,Log!$C$2:$C$1001,"Received",Log!$A$2:$A$1001,"&gt;"&amp;AA76)-SUMIFS(Log!$D$2:$D$1001,Log!$B$2:$B$1001,A76,Log!$C$2:$C$1001,"Used",Log!$A$2:$A$1001,"&gt;"&amp;AA76)+SUMIFS(Log!$D$2:$D$1001,Log!$B$2:$B$1001,A76,Log!$C$2:$C$1001,"Adjustment",Log!$A$2:$A$1001,"&gt;"&amp;AA76)))</f>
        <v/>
      </c>
      <c r="D76" s="32">
        <f>IF(A76="","",IF(X76&lt;&gt;"",X76,W76))</f>
        <v/>
      </c>
      <c r="E76" s="33">
        <f>IF(OR(A76="",N(O76)=0),"",C76/O76)</f>
        <v/>
      </c>
      <c r="F76" s="31">
        <f>IF(A76="","",MAX(0,N(T76)-SUMIFS(Log!$D$2:$D$1001,Log!$B$2:$B$1001,A76,Log!$C$2:$C$1001,"Received",Log!$A$2:$A$1001,"&gt;="&amp;N(U76))))</f>
        <v/>
      </c>
      <c r="G76" s="24" t="n"/>
      <c r="H76" s="24" t="n"/>
      <c r="I76" s="24" t="n"/>
      <c r="J76" s="24" t="n"/>
      <c r="K76" s="24" t="n"/>
      <c r="L76" s="34" t="n"/>
      <c r="M76" s="24" t="n"/>
      <c r="N76" s="24" t="n"/>
      <c r="O76" s="35" t="n"/>
      <c r="P76" s="25" t="n"/>
      <c r="Q76" s="36">
        <f>IF(A76="","",IF(P76&lt;&gt;"",P76,IFERROR(IF(N(INDEX(Suppliers!$E$5:$E$24,MATCH(H76,Suppliers!$B$5:$B$24,0)))&gt;0,INDEX(Suppliers!$E$5:$E$24,MATCH(H76,Suppliers!$B$5:$B$24,0)),5),5)))</f>
        <v/>
      </c>
      <c r="R76" s="35" t="n"/>
      <c r="S76" s="37" t="n"/>
      <c r="T76" s="25" t="n"/>
      <c r="U76" s="37" t="n"/>
      <c r="V76" s="37" t="n"/>
      <c r="W76" s="36">
        <f>IF(A76="","",ROUNDUP(N(O76)*(Q76/7+Settings!$C$5),0))</f>
        <v/>
      </c>
      <c r="X76" s="25" t="n"/>
      <c r="Y76" s="25" t="n"/>
      <c r="Z76" s="32">
        <f>IF(A76="","",IF(Y76&lt;&gt;"",Y76,MAX(1,ROUNDUP(N(O76)*Settings!$C$7,0))))</f>
        <v/>
      </c>
      <c r="AA76" s="38">
        <f>IF(A76="","",MAX(N(S76),_xlfn.MAXIFS(Log!$A$2:$A$1001,Log!$B$2:$B$1001,A76,Log!$C$2:$C$1001,"Count")))</f>
        <v/>
      </c>
      <c r="AB76" s="39">
        <f>IF(A76="","",Z76*N(L76))</f>
        <v/>
      </c>
      <c r="AC76" s="40">
        <f>IF(A76="","",N(O76)*52*N(L76))</f>
        <v/>
      </c>
      <c r="AD76" s="39">
        <f>IF(A76="","",C76*N(L76))</f>
        <v/>
      </c>
      <c r="AE76" s="41">
        <f>IF(A76="",0,IF(AND(OR(B76="Order now",B76="Critical"),F76=0),1,0))</f>
        <v/>
      </c>
      <c r="AF76" s="41">
        <f>IF(AE76=1,IFERROR(MATCH(H76,Suppliers!$B$5:$B$24,0),99)*1000+ROW(),"")</f>
        <v/>
      </c>
      <c r="AG76" s="41">
        <f>IF(AF76="","",COUNTIF('Stock list'!$AF$2:$AF$301,"&lt;"&amp;AF76)+1)</f>
        <v/>
      </c>
      <c r="AH76" s="41">
        <f>IF(A76="",0,IF(OR(AA76=0,AND(B76="OK",OR(C76&lt;=D76+N(O76)*Settings!$C$6,Settings!$C$10-AA76&gt;Settings!$C$8*7))),1,0))</f>
        <v/>
      </c>
      <c r="AI76" s="41">
        <f>IF(AH76=0,"",IF(AA76=0,"Never counted",IF(C76&lt;=D76+N(O76)*Settings!$C$6,"Near the reorder point","Not counted for "&amp;INT((Settings!$C$10-AA76)/7)&amp;" weeks")))</f>
        <v/>
      </c>
      <c r="AJ76" s="41">
        <f>IF(AH76=1,IFERROR(MATCH(M76,Settings!$G$19:$G$38,0),99)*1000+ROW(),"")</f>
        <v/>
      </c>
      <c r="AK76" s="41">
        <f>IF(AJ76="","",COUNTIF('Stock list'!$AJ$2:$AJ$301,"&lt;"&amp;AJ76)+1)</f>
        <v/>
      </c>
      <c r="AL76" s="41">
        <f>IF(OR(A76="",N(AC76)=0),"",AC76+ROW()/1000000)</f>
        <v/>
      </c>
    </row>
    <row r="77">
      <c r="A77" s="24" t="n"/>
      <c r="B77" s="30">
        <f>IF(A77="","",IF(AA77=0,"No count",IF(AND(N(O77)&gt;0,C77/O77*7&lt;Q77),"Critical",IF(F77&gt;0,"On order",IF(AND(D77&gt;0,C77&lt;=D77),"Order now","OK")))))</f>
        <v/>
      </c>
      <c r="C77" s="31">
        <f>IF(A77="","",MAX(0,IF(_xlfn.MAXIFS(Log!$A$2:$A$1001,Log!$B$2:$B$1001,A77,Log!$C$2:$C$1001,"Count")&gt;N(S77),_xlfn.MAXIFS(Log!$D$2:$D$1001,Log!$B$2:$B$1001,A77,Log!$C$2:$C$1001,"Count",Log!$A$2:$A$1001,AA77),N(R77))+SUMIFS(Log!$D$2:$D$1001,Log!$B$2:$B$1001,A77,Log!$C$2:$C$1001,"Received",Log!$A$2:$A$1001,"&gt;"&amp;AA77)-SUMIFS(Log!$D$2:$D$1001,Log!$B$2:$B$1001,A77,Log!$C$2:$C$1001,"Used",Log!$A$2:$A$1001,"&gt;"&amp;AA77)+SUMIFS(Log!$D$2:$D$1001,Log!$B$2:$B$1001,A77,Log!$C$2:$C$1001,"Adjustment",Log!$A$2:$A$1001,"&gt;"&amp;AA77)))</f>
        <v/>
      </c>
      <c r="D77" s="32">
        <f>IF(A77="","",IF(X77&lt;&gt;"",X77,W77))</f>
        <v/>
      </c>
      <c r="E77" s="33">
        <f>IF(OR(A77="",N(O77)=0),"",C77/O77)</f>
        <v/>
      </c>
      <c r="F77" s="31">
        <f>IF(A77="","",MAX(0,N(T77)-SUMIFS(Log!$D$2:$D$1001,Log!$B$2:$B$1001,A77,Log!$C$2:$C$1001,"Received",Log!$A$2:$A$1001,"&gt;="&amp;N(U77))))</f>
        <v/>
      </c>
      <c r="G77" s="24" t="n"/>
      <c r="H77" s="24" t="n"/>
      <c r="I77" s="24" t="n"/>
      <c r="J77" s="24" t="n"/>
      <c r="K77" s="24" t="n"/>
      <c r="L77" s="34" t="n"/>
      <c r="M77" s="24" t="n"/>
      <c r="N77" s="24" t="n"/>
      <c r="O77" s="35" t="n"/>
      <c r="P77" s="25" t="n"/>
      <c r="Q77" s="36">
        <f>IF(A77="","",IF(P77&lt;&gt;"",P77,IFERROR(IF(N(INDEX(Suppliers!$E$5:$E$24,MATCH(H77,Suppliers!$B$5:$B$24,0)))&gt;0,INDEX(Suppliers!$E$5:$E$24,MATCH(H77,Suppliers!$B$5:$B$24,0)),5),5)))</f>
        <v/>
      </c>
      <c r="R77" s="35" t="n"/>
      <c r="S77" s="37" t="n"/>
      <c r="T77" s="25" t="n"/>
      <c r="U77" s="37" t="n"/>
      <c r="V77" s="37" t="n"/>
      <c r="W77" s="36">
        <f>IF(A77="","",ROUNDUP(N(O77)*(Q77/7+Settings!$C$5),0))</f>
        <v/>
      </c>
      <c r="X77" s="25" t="n"/>
      <c r="Y77" s="25" t="n"/>
      <c r="Z77" s="32">
        <f>IF(A77="","",IF(Y77&lt;&gt;"",Y77,MAX(1,ROUNDUP(N(O77)*Settings!$C$7,0))))</f>
        <v/>
      </c>
      <c r="AA77" s="38">
        <f>IF(A77="","",MAX(N(S77),_xlfn.MAXIFS(Log!$A$2:$A$1001,Log!$B$2:$B$1001,A77,Log!$C$2:$C$1001,"Count")))</f>
        <v/>
      </c>
      <c r="AB77" s="39">
        <f>IF(A77="","",Z77*N(L77))</f>
        <v/>
      </c>
      <c r="AC77" s="40">
        <f>IF(A77="","",N(O77)*52*N(L77))</f>
        <v/>
      </c>
      <c r="AD77" s="39">
        <f>IF(A77="","",C77*N(L77))</f>
        <v/>
      </c>
      <c r="AE77" s="41">
        <f>IF(A77="",0,IF(AND(OR(B77="Order now",B77="Critical"),F77=0),1,0))</f>
        <v/>
      </c>
      <c r="AF77" s="41">
        <f>IF(AE77=1,IFERROR(MATCH(H77,Suppliers!$B$5:$B$24,0),99)*1000+ROW(),"")</f>
        <v/>
      </c>
      <c r="AG77" s="41">
        <f>IF(AF77="","",COUNTIF('Stock list'!$AF$2:$AF$301,"&lt;"&amp;AF77)+1)</f>
        <v/>
      </c>
      <c r="AH77" s="41">
        <f>IF(A77="",0,IF(OR(AA77=0,AND(B77="OK",OR(C77&lt;=D77+N(O77)*Settings!$C$6,Settings!$C$10-AA77&gt;Settings!$C$8*7))),1,0))</f>
        <v/>
      </c>
      <c r="AI77" s="41">
        <f>IF(AH77=0,"",IF(AA77=0,"Never counted",IF(C77&lt;=D77+N(O77)*Settings!$C$6,"Near the reorder point","Not counted for "&amp;INT((Settings!$C$10-AA77)/7)&amp;" weeks")))</f>
        <v/>
      </c>
      <c r="AJ77" s="41">
        <f>IF(AH77=1,IFERROR(MATCH(M77,Settings!$G$19:$G$38,0),99)*1000+ROW(),"")</f>
        <v/>
      </c>
      <c r="AK77" s="41">
        <f>IF(AJ77="","",COUNTIF('Stock list'!$AJ$2:$AJ$301,"&lt;"&amp;AJ77)+1)</f>
        <v/>
      </c>
      <c r="AL77" s="41">
        <f>IF(OR(A77="",N(AC77)=0),"",AC77+ROW()/1000000)</f>
        <v/>
      </c>
    </row>
    <row r="78">
      <c r="A78" s="24" t="n"/>
      <c r="B78" s="30">
        <f>IF(A78="","",IF(AA78=0,"No count",IF(AND(N(O78)&gt;0,C78/O78*7&lt;Q78),"Critical",IF(F78&gt;0,"On order",IF(AND(D78&gt;0,C78&lt;=D78),"Order now","OK")))))</f>
        <v/>
      </c>
      <c r="C78" s="31">
        <f>IF(A78="","",MAX(0,IF(_xlfn.MAXIFS(Log!$A$2:$A$1001,Log!$B$2:$B$1001,A78,Log!$C$2:$C$1001,"Count")&gt;N(S78),_xlfn.MAXIFS(Log!$D$2:$D$1001,Log!$B$2:$B$1001,A78,Log!$C$2:$C$1001,"Count",Log!$A$2:$A$1001,AA78),N(R78))+SUMIFS(Log!$D$2:$D$1001,Log!$B$2:$B$1001,A78,Log!$C$2:$C$1001,"Received",Log!$A$2:$A$1001,"&gt;"&amp;AA78)-SUMIFS(Log!$D$2:$D$1001,Log!$B$2:$B$1001,A78,Log!$C$2:$C$1001,"Used",Log!$A$2:$A$1001,"&gt;"&amp;AA78)+SUMIFS(Log!$D$2:$D$1001,Log!$B$2:$B$1001,A78,Log!$C$2:$C$1001,"Adjustment",Log!$A$2:$A$1001,"&gt;"&amp;AA78)))</f>
        <v/>
      </c>
      <c r="D78" s="32">
        <f>IF(A78="","",IF(X78&lt;&gt;"",X78,W78))</f>
        <v/>
      </c>
      <c r="E78" s="33">
        <f>IF(OR(A78="",N(O78)=0),"",C78/O78)</f>
        <v/>
      </c>
      <c r="F78" s="31">
        <f>IF(A78="","",MAX(0,N(T78)-SUMIFS(Log!$D$2:$D$1001,Log!$B$2:$B$1001,A78,Log!$C$2:$C$1001,"Received",Log!$A$2:$A$1001,"&gt;="&amp;N(U78))))</f>
        <v/>
      </c>
      <c r="G78" s="24" t="n"/>
      <c r="H78" s="24" t="n"/>
      <c r="I78" s="24" t="n"/>
      <c r="J78" s="24" t="n"/>
      <c r="K78" s="24" t="n"/>
      <c r="L78" s="34" t="n"/>
      <c r="M78" s="24" t="n"/>
      <c r="N78" s="24" t="n"/>
      <c r="O78" s="35" t="n"/>
      <c r="P78" s="25" t="n"/>
      <c r="Q78" s="36">
        <f>IF(A78="","",IF(P78&lt;&gt;"",P78,IFERROR(IF(N(INDEX(Suppliers!$E$5:$E$24,MATCH(H78,Suppliers!$B$5:$B$24,0)))&gt;0,INDEX(Suppliers!$E$5:$E$24,MATCH(H78,Suppliers!$B$5:$B$24,0)),5),5)))</f>
        <v/>
      </c>
      <c r="R78" s="35" t="n"/>
      <c r="S78" s="37" t="n"/>
      <c r="T78" s="25" t="n"/>
      <c r="U78" s="37" t="n"/>
      <c r="V78" s="37" t="n"/>
      <c r="W78" s="36">
        <f>IF(A78="","",ROUNDUP(N(O78)*(Q78/7+Settings!$C$5),0))</f>
        <v/>
      </c>
      <c r="X78" s="25" t="n"/>
      <c r="Y78" s="25" t="n"/>
      <c r="Z78" s="32">
        <f>IF(A78="","",IF(Y78&lt;&gt;"",Y78,MAX(1,ROUNDUP(N(O78)*Settings!$C$7,0))))</f>
        <v/>
      </c>
      <c r="AA78" s="38">
        <f>IF(A78="","",MAX(N(S78),_xlfn.MAXIFS(Log!$A$2:$A$1001,Log!$B$2:$B$1001,A78,Log!$C$2:$C$1001,"Count")))</f>
        <v/>
      </c>
      <c r="AB78" s="39">
        <f>IF(A78="","",Z78*N(L78))</f>
        <v/>
      </c>
      <c r="AC78" s="40">
        <f>IF(A78="","",N(O78)*52*N(L78))</f>
        <v/>
      </c>
      <c r="AD78" s="39">
        <f>IF(A78="","",C78*N(L78))</f>
        <v/>
      </c>
      <c r="AE78" s="41">
        <f>IF(A78="",0,IF(AND(OR(B78="Order now",B78="Critical"),F78=0),1,0))</f>
        <v/>
      </c>
      <c r="AF78" s="41">
        <f>IF(AE78=1,IFERROR(MATCH(H78,Suppliers!$B$5:$B$24,0),99)*1000+ROW(),"")</f>
        <v/>
      </c>
      <c r="AG78" s="41">
        <f>IF(AF78="","",COUNTIF('Stock list'!$AF$2:$AF$301,"&lt;"&amp;AF78)+1)</f>
        <v/>
      </c>
      <c r="AH78" s="41">
        <f>IF(A78="",0,IF(OR(AA78=0,AND(B78="OK",OR(C78&lt;=D78+N(O78)*Settings!$C$6,Settings!$C$10-AA78&gt;Settings!$C$8*7))),1,0))</f>
        <v/>
      </c>
      <c r="AI78" s="41">
        <f>IF(AH78=0,"",IF(AA78=0,"Never counted",IF(C78&lt;=D78+N(O78)*Settings!$C$6,"Near the reorder point","Not counted for "&amp;INT((Settings!$C$10-AA78)/7)&amp;" weeks")))</f>
        <v/>
      </c>
      <c r="AJ78" s="41">
        <f>IF(AH78=1,IFERROR(MATCH(M78,Settings!$G$19:$G$38,0),99)*1000+ROW(),"")</f>
        <v/>
      </c>
      <c r="AK78" s="41">
        <f>IF(AJ78="","",COUNTIF('Stock list'!$AJ$2:$AJ$301,"&lt;"&amp;AJ78)+1)</f>
        <v/>
      </c>
      <c r="AL78" s="41">
        <f>IF(OR(A78="",N(AC78)=0),"",AC78+ROW()/1000000)</f>
        <v/>
      </c>
    </row>
    <row r="79">
      <c r="A79" s="24" t="n"/>
      <c r="B79" s="30">
        <f>IF(A79="","",IF(AA79=0,"No count",IF(AND(N(O79)&gt;0,C79/O79*7&lt;Q79),"Critical",IF(F79&gt;0,"On order",IF(AND(D79&gt;0,C79&lt;=D79),"Order now","OK")))))</f>
        <v/>
      </c>
      <c r="C79" s="31">
        <f>IF(A79="","",MAX(0,IF(_xlfn.MAXIFS(Log!$A$2:$A$1001,Log!$B$2:$B$1001,A79,Log!$C$2:$C$1001,"Count")&gt;N(S79),_xlfn.MAXIFS(Log!$D$2:$D$1001,Log!$B$2:$B$1001,A79,Log!$C$2:$C$1001,"Count",Log!$A$2:$A$1001,AA79),N(R79))+SUMIFS(Log!$D$2:$D$1001,Log!$B$2:$B$1001,A79,Log!$C$2:$C$1001,"Received",Log!$A$2:$A$1001,"&gt;"&amp;AA79)-SUMIFS(Log!$D$2:$D$1001,Log!$B$2:$B$1001,A79,Log!$C$2:$C$1001,"Used",Log!$A$2:$A$1001,"&gt;"&amp;AA79)+SUMIFS(Log!$D$2:$D$1001,Log!$B$2:$B$1001,A79,Log!$C$2:$C$1001,"Adjustment",Log!$A$2:$A$1001,"&gt;"&amp;AA79)))</f>
        <v/>
      </c>
      <c r="D79" s="32">
        <f>IF(A79="","",IF(X79&lt;&gt;"",X79,W79))</f>
        <v/>
      </c>
      <c r="E79" s="33">
        <f>IF(OR(A79="",N(O79)=0),"",C79/O79)</f>
        <v/>
      </c>
      <c r="F79" s="31">
        <f>IF(A79="","",MAX(0,N(T79)-SUMIFS(Log!$D$2:$D$1001,Log!$B$2:$B$1001,A79,Log!$C$2:$C$1001,"Received",Log!$A$2:$A$1001,"&gt;="&amp;N(U79))))</f>
        <v/>
      </c>
      <c r="G79" s="24" t="n"/>
      <c r="H79" s="24" t="n"/>
      <c r="I79" s="24" t="n"/>
      <c r="J79" s="24" t="n"/>
      <c r="K79" s="24" t="n"/>
      <c r="L79" s="34" t="n"/>
      <c r="M79" s="24" t="n"/>
      <c r="N79" s="24" t="n"/>
      <c r="O79" s="35" t="n"/>
      <c r="P79" s="25" t="n"/>
      <c r="Q79" s="36">
        <f>IF(A79="","",IF(P79&lt;&gt;"",P79,IFERROR(IF(N(INDEX(Suppliers!$E$5:$E$24,MATCH(H79,Suppliers!$B$5:$B$24,0)))&gt;0,INDEX(Suppliers!$E$5:$E$24,MATCH(H79,Suppliers!$B$5:$B$24,0)),5),5)))</f>
        <v/>
      </c>
      <c r="R79" s="35" t="n"/>
      <c r="S79" s="37" t="n"/>
      <c r="T79" s="25" t="n"/>
      <c r="U79" s="37" t="n"/>
      <c r="V79" s="37" t="n"/>
      <c r="W79" s="36">
        <f>IF(A79="","",ROUNDUP(N(O79)*(Q79/7+Settings!$C$5),0))</f>
        <v/>
      </c>
      <c r="X79" s="25" t="n"/>
      <c r="Y79" s="25" t="n"/>
      <c r="Z79" s="32">
        <f>IF(A79="","",IF(Y79&lt;&gt;"",Y79,MAX(1,ROUNDUP(N(O79)*Settings!$C$7,0))))</f>
        <v/>
      </c>
      <c r="AA79" s="38">
        <f>IF(A79="","",MAX(N(S79),_xlfn.MAXIFS(Log!$A$2:$A$1001,Log!$B$2:$B$1001,A79,Log!$C$2:$C$1001,"Count")))</f>
        <v/>
      </c>
      <c r="AB79" s="39">
        <f>IF(A79="","",Z79*N(L79))</f>
        <v/>
      </c>
      <c r="AC79" s="40">
        <f>IF(A79="","",N(O79)*52*N(L79))</f>
        <v/>
      </c>
      <c r="AD79" s="39">
        <f>IF(A79="","",C79*N(L79))</f>
        <v/>
      </c>
      <c r="AE79" s="41">
        <f>IF(A79="",0,IF(AND(OR(B79="Order now",B79="Critical"),F79=0),1,0))</f>
        <v/>
      </c>
      <c r="AF79" s="41">
        <f>IF(AE79=1,IFERROR(MATCH(H79,Suppliers!$B$5:$B$24,0),99)*1000+ROW(),"")</f>
        <v/>
      </c>
      <c r="AG79" s="41">
        <f>IF(AF79="","",COUNTIF('Stock list'!$AF$2:$AF$301,"&lt;"&amp;AF79)+1)</f>
        <v/>
      </c>
      <c r="AH79" s="41">
        <f>IF(A79="",0,IF(OR(AA79=0,AND(B79="OK",OR(C79&lt;=D79+N(O79)*Settings!$C$6,Settings!$C$10-AA79&gt;Settings!$C$8*7))),1,0))</f>
        <v/>
      </c>
      <c r="AI79" s="41">
        <f>IF(AH79=0,"",IF(AA79=0,"Never counted",IF(C79&lt;=D79+N(O79)*Settings!$C$6,"Near the reorder point","Not counted for "&amp;INT((Settings!$C$10-AA79)/7)&amp;" weeks")))</f>
        <v/>
      </c>
      <c r="AJ79" s="41">
        <f>IF(AH79=1,IFERROR(MATCH(M79,Settings!$G$19:$G$38,0),99)*1000+ROW(),"")</f>
        <v/>
      </c>
      <c r="AK79" s="41">
        <f>IF(AJ79="","",COUNTIF('Stock list'!$AJ$2:$AJ$301,"&lt;"&amp;AJ79)+1)</f>
        <v/>
      </c>
      <c r="AL79" s="41">
        <f>IF(OR(A79="",N(AC79)=0),"",AC79+ROW()/1000000)</f>
        <v/>
      </c>
    </row>
    <row r="80">
      <c r="A80" s="24" t="n"/>
      <c r="B80" s="30">
        <f>IF(A80="","",IF(AA80=0,"No count",IF(AND(N(O80)&gt;0,C80/O80*7&lt;Q80),"Critical",IF(F80&gt;0,"On order",IF(AND(D80&gt;0,C80&lt;=D80),"Order now","OK")))))</f>
        <v/>
      </c>
      <c r="C80" s="31">
        <f>IF(A80="","",MAX(0,IF(_xlfn.MAXIFS(Log!$A$2:$A$1001,Log!$B$2:$B$1001,A80,Log!$C$2:$C$1001,"Count")&gt;N(S80),_xlfn.MAXIFS(Log!$D$2:$D$1001,Log!$B$2:$B$1001,A80,Log!$C$2:$C$1001,"Count",Log!$A$2:$A$1001,AA80),N(R80))+SUMIFS(Log!$D$2:$D$1001,Log!$B$2:$B$1001,A80,Log!$C$2:$C$1001,"Received",Log!$A$2:$A$1001,"&gt;"&amp;AA80)-SUMIFS(Log!$D$2:$D$1001,Log!$B$2:$B$1001,A80,Log!$C$2:$C$1001,"Used",Log!$A$2:$A$1001,"&gt;"&amp;AA80)+SUMIFS(Log!$D$2:$D$1001,Log!$B$2:$B$1001,A80,Log!$C$2:$C$1001,"Adjustment",Log!$A$2:$A$1001,"&gt;"&amp;AA80)))</f>
        <v/>
      </c>
      <c r="D80" s="32">
        <f>IF(A80="","",IF(X80&lt;&gt;"",X80,W80))</f>
        <v/>
      </c>
      <c r="E80" s="33">
        <f>IF(OR(A80="",N(O80)=0),"",C80/O80)</f>
        <v/>
      </c>
      <c r="F80" s="31">
        <f>IF(A80="","",MAX(0,N(T80)-SUMIFS(Log!$D$2:$D$1001,Log!$B$2:$B$1001,A80,Log!$C$2:$C$1001,"Received",Log!$A$2:$A$1001,"&gt;="&amp;N(U80))))</f>
        <v/>
      </c>
      <c r="G80" s="24" t="n"/>
      <c r="H80" s="24" t="n"/>
      <c r="I80" s="24" t="n"/>
      <c r="J80" s="24" t="n"/>
      <c r="K80" s="24" t="n"/>
      <c r="L80" s="34" t="n"/>
      <c r="M80" s="24" t="n"/>
      <c r="N80" s="24" t="n"/>
      <c r="O80" s="35" t="n"/>
      <c r="P80" s="25" t="n"/>
      <c r="Q80" s="36">
        <f>IF(A80="","",IF(P80&lt;&gt;"",P80,IFERROR(IF(N(INDEX(Suppliers!$E$5:$E$24,MATCH(H80,Suppliers!$B$5:$B$24,0)))&gt;0,INDEX(Suppliers!$E$5:$E$24,MATCH(H80,Suppliers!$B$5:$B$24,0)),5),5)))</f>
        <v/>
      </c>
      <c r="R80" s="35" t="n"/>
      <c r="S80" s="37" t="n"/>
      <c r="T80" s="25" t="n"/>
      <c r="U80" s="37" t="n"/>
      <c r="V80" s="37" t="n"/>
      <c r="W80" s="36">
        <f>IF(A80="","",ROUNDUP(N(O80)*(Q80/7+Settings!$C$5),0))</f>
        <v/>
      </c>
      <c r="X80" s="25" t="n"/>
      <c r="Y80" s="25" t="n"/>
      <c r="Z80" s="32">
        <f>IF(A80="","",IF(Y80&lt;&gt;"",Y80,MAX(1,ROUNDUP(N(O80)*Settings!$C$7,0))))</f>
        <v/>
      </c>
      <c r="AA80" s="38">
        <f>IF(A80="","",MAX(N(S80),_xlfn.MAXIFS(Log!$A$2:$A$1001,Log!$B$2:$B$1001,A80,Log!$C$2:$C$1001,"Count")))</f>
        <v/>
      </c>
      <c r="AB80" s="39">
        <f>IF(A80="","",Z80*N(L80))</f>
        <v/>
      </c>
      <c r="AC80" s="40">
        <f>IF(A80="","",N(O80)*52*N(L80))</f>
        <v/>
      </c>
      <c r="AD80" s="39">
        <f>IF(A80="","",C80*N(L80))</f>
        <v/>
      </c>
      <c r="AE80" s="41">
        <f>IF(A80="",0,IF(AND(OR(B80="Order now",B80="Critical"),F80=0),1,0))</f>
        <v/>
      </c>
      <c r="AF80" s="41">
        <f>IF(AE80=1,IFERROR(MATCH(H80,Suppliers!$B$5:$B$24,0),99)*1000+ROW(),"")</f>
        <v/>
      </c>
      <c r="AG80" s="41">
        <f>IF(AF80="","",COUNTIF('Stock list'!$AF$2:$AF$301,"&lt;"&amp;AF80)+1)</f>
        <v/>
      </c>
      <c r="AH80" s="41">
        <f>IF(A80="",0,IF(OR(AA80=0,AND(B80="OK",OR(C80&lt;=D80+N(O80)*Settings!$C$6,Settings!$C$10-AA80&gt;Settings!$C$8*7))),1,0))</f>
        <v/>
      </c>
      <c r="AI80" s="41">
        <f>IF(AH80=0,"",IF(AA80=0,"Never counted",IF(C80&lt;=D80+N(O80)*Settings!$C$6,"Near the reorder point","Not counted for "&amp;INT((Settings!$C$10-AA80)/7)&amp;" weeks")))</f>
        <v/>
      </c>
      <c r="AJ80" s="41">
        <f>IF(AH80=1,IFERROR(MATCH(M80,Settings!$G$19:$G$38,0),99)*1000+ROW(),"")</f>
        <v/>
      </c>
      <c r="AK80" s="41">
        <f>IF(AJ80="","",COUNTIF('Stock list'!$AJ$2:$AJ$301,"&lt;"&amp;AJ80)+1)</f>
        <v/>
      </c>
      <c r="AL80" s="41">
        <f>IF(OR(A80="",N(AC80)=0),"",AC80+ROW()/1000000)</f>
        <v/>
      </c>
    </row>
    <row r="81">
      <c r="A81" s="24" t="n"/>
      <c r="B81" s="30">
        <f>IF(A81="","",IF(AA81=0,"No count",IF(AND(N(O81)&gt;0,C81/O81*7&lt;Q81),"Critical",IF(F81&gt;0,"On order",IF(AND(D81&gt;0,C81&lt;=D81),"Order now","OK")))))</f>
        <v/>
      </c>
      <c r="C81" s="31">
        <f>IF(A81="","",MAX(0,IF(_xlfn.MAXIFS(Log!$A$2:$A$1001,Log!$B$2:$B$1001,A81,Log!$C$2:$C$1001,"Count")&gt;N(S81),_xlfn.MAXIFS(Log!$D$2:$D$1001,Log!$B$2:$B$1001,A81,Log!$C$2:$C$1001,"Count",Log!$A$2:$A$1001,AA81),N(R81))+SUMIFS(Log!$D$2:$D$1001,Log!$B$2:$B$1001,A81,Log!$C$2:$C$1001,"Received",Log!$A$2:$A$1001,"&gt;"&amp;AA81)-SUMIFS(Log!$D$2:$D$1001,Log!$B$2:$B$1001,A81,Log!$C$2:$C$1001,"Used",Log!$A$2:$A$1001,"&gt;"&amp;AA81)+SUMIFS(Log!$D$2:$D$1001,Log!$B$2:$B$1001,A81,Log!$C$2:$C$1001,"Adjustment",Log!$A$2:$A$1001,"&gt;"&amp;AA81)))</f>
        <v/>
      </c>
      <c r="D81" s="32">
        <f>IF(A81="","",IF(X81&lt;&gt;"",X81,W81))</f>
        <v/>
      </c>
      <c r="E81" s="33">
        <f>IF(OR(A81="",N(O81)=0),"",C81/O81)</f>
        <v/>
      </c>
      <c r="F81" s="31">
        <f>IF(A81="","",MAX(0,N(T81)-SUMIFS(Log!$D$2:$D$1001,Log!$B$2:$B$1001,A81,Log!$C$2:$C$1001,"Received",Log!$A$2:$A$1001,"&gt;="&amp;N(U81))))</f>
        <v/>
      </c>
      <c r="G81" s="24" t="n"/>
      <c r="H81" s="24" t="n"/>
      <c r="I81" s="24" t="n"/>
      <c r="J81" s="24" t="n"/>
      <c r="K81" s="24" t="n"/>
      <c r="L81" s="34" t="n"/>
      <c r="M81" s="24" t="n"/>
      <c r="N81" s="24" t="n"/>
      <c r="O81" s="35" t="n"/>
      <c r="P81" s="25" t="n"/>
      <c r="Q81" s="36">
        <f>IF(A81="","",IF(P81&lt;&gt;"",P81,IFERROR(IF(N(INDEX(Suppliers!$E$5:$E$24,MATCH(H81,Suppliers!$B$5:$B$24,0)))&gt;0,INDEX(Suppliers!$E$5:$E$24,MATCH(H81,Suppliers!$B$5:$B$24,0)),5),5)))</f>
        <v/>
      </c>
      <c r="R81" s="35" t="n"/>
      <c r="S81" s="37" t="n"/>
      <c r="T81" s="25" t="n"/>
      <c r="U81" s="37" t="n"/>
      <c r="V81" s="37" t="n"/>
      <c r="W81" s="36">
        <f>IF(A81="","",ROUNDUP(N(O81)*(Q81/7+Settings!$C$5),0))</f>
        <v/>
      </c>
      <c r="X81" s="25" t="n"/>
      <c r="Y81" s="25" t="n"/>
      <c r="Z81" s="32">
        <f>IF(A81="","",IF(Y81&lt;&gt;"",Y81,MAX(1,ROUNDUP(N(O81)*Settings!$C$7,0))))</f>
        <v/>
      </c>
      <c r="AA81" s="38">
        <f>IF(A81="","",MAX(N(S81),_xlfn.MAXIFS(Log!$A$2:$A$1001,Log!$B$2:$B$1001,A81,Log!$C$2:$C$1001,"Count")))</f>
        <v/>
      </c>
      <c r="AB81" s="39">
        <f>IF(A81="","",Z81*N(L81))</f>
        <v/>
      </c>
      <c r="AC81" s="40">
        <f>IF(A81="","",N(O81)*52*N(L81))</f>
        <v/>
      </c>
      <c r="AD81" s="39">
        <f>IF(A81="","",C81*N(L81))</f>
        <v/>
      </c>
      <c r="AE81" s="41">
        <f>IF(A81="",0,IF(AND(OR(B81="Order now",B81="Critical"),F81=0),1,0))</f>
        <v/>
      </c>
      <c r="AF81" s="41">
        <f>IF(AE81=1,IFERROR(MATCH(H81,Suppliers!$B$5:$B$24,0),99)*1000+ROW(),"")</f>
        <v/>
      </c>
      <c r="AG81" s="41">
        <f>IF(AF81="","",COUNTIF('Stock list'!$AF$2:$AF$301,"&lt;"&amp;AF81)+1)</f>
        <v/>
      </c>
      <c r="AH81" s="41">
        <f>IF(A81="",0,IF(OR(AA81=0,AND(B81="OK",OR(C81&lt;=D81+N(O81)*Settings!$C$6,Settings!$C$10-AA81&gt;Settings!$C$8*7))),1,0))</f>
        <v/>
      </c>
      <c r="AI81" s="41">
        <f>IF(AH81=0,"",IF(AA81=0,"Never counted",IF(C81&lt;=D81+N(O81)*Settings!$C$6,"Near the reorder point","Not counted for "&amp;INT((Settings!$C$10-AA81)/7)&amp;" weeks")))</f>
        <v/>
      </c>
      <c r="AJ81" s="41">
        <f>IF(AH81=1,IFERROR(MATCH(M81,Settings!$G$19:$G$38,0),99)*1000+ROW(),"")</f>
        <v/>
      </c>
      <c r="AK81" s="41">
        <f>IF(AJ81="","",COUNTIF('Stock list'!$AJ$2:$AJ$301,"&lt;"&amp;AJ81)+1)</f>
        <v/>
      </c>
      <c r="AL81" s="41">
        <f>IF(OR(A81="",N(AC81)=0),"",AC81+ROW()/1000000)</f>
        <v/>
      </c>
    </row>
    <row r="82">
      <c r="A82" s="24" t="n"/>
      <c r="B82" s="30">
        <f>IF(A82="","",IF(AA82=0,"No count",IF(AND(N(O82)&gt;0,C82/O82*7&lt;Q82),"Critical",IF(F82&gt;0,"On order",IF(AND(D82&gt;0,C82&lt;=D82),"Order now","OK")))))</f>
        <v/>
      </c>
      <c r="C82" s="31">
        <f>IF(A82="","",MAX(0,IF(_xlfn.MAXIFS(Log!$A$2:$A$1001,Log!$B$2:$B$1001,A82,Log!$C$2:$C$1001,"Count")&gt;N(S82),_xlfn.MAXIFS(Log!$D$2:$D$1001,Log!$B$2:$B$1001,A82,Log!$C$2:$C$1001,"Count",Log!$A$2:$A$1001,AA82),N(R82))+SUMIFS(Log!$D$2:$D$1001,Log!$B$2:$B$1001,A82,Log!$C$2:$C$1001,"Received",Log!$A$2:$A$1001,"&gt;"&amp;AA82)-SUMIFS(Log!$D$2:$D$1001,Log!$B$2:$B$1001,A82,Log!$C$2:$C$1001,"Used",Log!$A$2:$A$1001,"&gt;"&amp;AA82)+SUMIFS(Log!$D$2:$D$1001,Log!$B$2:$B$1001,A82,Log!$C$2:$C$1001,"Adjustment",Log!$A$2:$A$1001,"&gt;"&amp;AA82)))</f>
        <v/>
      </c>
      <c r="D82" s="32">
        <f>IF(A82="","",IF(X82&lt;&gt;"",X82,W82))</f>
        <v/>
      </c>
      <c r="E82" s="33">
        <f>IF(OR(A82="",N(O82)=0),"",C82/O82)</f>
        <v/>
      </c>
      <c r="F82" s="31">
        <f>IF(A82="","",MAX(0,N(T82)-SUMIFS(Log!$D$2:$D$1001,Log!$B$2:$B$1001,A82,Log!$C$2:$C$1001,"Received",Log!$A$2:$A$1001,"&gt;="&amp;N(U82))))</f>
        <v/>
      </c>
      <c r="G82" s="24" t="n"/>
      <c r="H82" s="24" t="n"/>
      <c r="I82" s="24" t="n"/>
      <c r="J82" s="24" t="n"/>
      <c r="K82" s="24" t="n"/>
      <c r="L82" s="34" t="n"/>
      <c r="M82" s="24" t="n"/>
      <c r="N82" s="24" t="n"/>
      <c r="O82" s="35" t="n"/>
      <c r="P82" s="25" t="n"/>
      <c r="Q82" s="36">
        <f>IF(A82="","",IF(P82&lt;&gt;"",P82,IFERROR(IF(N(INDEX(Suppliers!$E$5:$E$24,MATCH(H82,Suppliers!$B$5:$B$24,0)))&gt;0,INDEX(Suppliers!$E$5:$E$24,MATCH(H82,Suppliers!$B$5:$B$24,0)),5),5)))</f>
        <v/>
      </c>
      <c r="R82" s="35" t="n"/>
      <c r="S82" s="37" t="n"/>
      <c r="T82" s="25" t="n"/>
      <c r="U82" s="37" t="n"/>
      <c r="V82" s="37" t="n"/>
      <c r="W82" s="36">
        <f>IF(A82="","",ROUNDUP(N(O82)*(Q82/7+Settings!$C$5),0))</f>
        <v/>
      </c>
      <c r="X82" s="25" t="n"/>
      <c r="Y82" s="25" t="n"/>
      <c r="Z82" s="32">
        <f>IF(A82="","",IF(Y82&lt;&gt;"",Y82,MAX(1,ROUNDUP(N(O82)*Settings!$C$7,0))))</f>
        <v/>
      </c>
      <c r="AA82" s="38">
        <f>IF(A82="","",MAX(N(S82),_xlfn.MAXIFS(Log!$A$2:$A$1001,Log!$B$2:$B$1001,A82,Log!$C$2:$C$1001,"Count")))</f>
        <v/>
      </c>
      <c r="AB82" s="39">
        <f>IF(A82="","",Z82*N(L82))</f>
        <v/>
      </c>
      <c r="AC82" s="40">
        <f>IF(A82="","",N(O82)*52*N(L82))</f>
        <v/>
      </c>
      <c r="AD82" s="39">
        <f>IF(A82="","",C82*N(L82))</f>
        <v/>
      </c>
      <c r="AE82" s="41">
        <f>IF(A82="",0,IF(AND(OR(B82="Order now",B82="Critical"),F82=0),1,0))</f>
        <v/>
      </c>
      <c r="AF82" s="41">
        <f>IF(AE82=1,IFERROR(MATCH(H82,Suppliers!$B$5:$B$24,0),99)*1000+ROW(),"")</f>
        <v/>
      </c>
      <c r="AG82" s="41">
        <f>IF(AF82="","",COUNTIF('Stock list'!$AF$2:$AF$301,"&lt;"&amp;AF82)+1)</f>
        <v/>
      </c>
      <c r="AH82" s="41">
        <f>IF(A82="",0,IF(OR(AA82=0,AND(B82="OK",OR(C82&lt;=D82+N(O82)*Settings!$C$6,Settings!$C$10-AA82&gt;Settings!$C$8*7))),1,0))</f>
        <v/>
      </c>
      <c r="AI82" s="41">
        <f>IF(AH82=0,"",IF(AA82=0,"Never counted",IF(C82&lt;=D82+N(O82)*Settings!$C$6,"Near the reorder point","Not counted for "&amp;INT((Settings!$C$10-AA82)/7)&amp;" weeks")))</f>
        <v/>
      </c>
      <c r="AJ82" s="41">
        <f>IF(AH82=1,IFERROR(MATCH(M82,Settings!$G$19:$G$38,0),99)*1000+ROW(),"")</f>
        <v/>
      </c>
      <c r="AK82" s="41">
        <f>IF(AJ82="","",COUNTIF('Stock list'!$AJ$2:$AJ$301,"&lt;"&amp;AJ82)+1)</f>
        <v/>
      </c>
      <c r="AL82" s="41">
        <f>IF(OR(A82="",N(AC82)=0),"",AC82+ROW()/1000000)</f>
        <v/>
      </c>
    </row>
    <row r="83">
      <c r="A83" s="24" t="n"/>
      <c r="B83" s="30">
        <f>IF(A83="","",IF(AA83=0,"No count",IF(AND(N(O83)&gt;0,C83/O83*7&lt;Q83),"Critical",IF(F83&gt;0,"On order",IF(AND(D83&gt;0,C83&lt;=D83),"Order now","OK")))))</f>
        <v/>
      </c>
      <c r="C83" s="31">
        <f>IF(A83="","",MAX(0,IF(_xlfn.MAXIFS(Log!$A$2:$A$1001,Log!$B$2:$B$1001,A83,Log!$C$2:$C$1001,"Count")&gt;N(S83),_xlfn.MAXIFS(Log!$D$2:$D$1001,Log!$B$2:$B$1001,A83,Log!$C$2:$C$1001,"Count",Log!$A$2:$A$1001,AA83),N(R83))+SUMIFS(Log!$D$2:$D$1001,Log!$B$2:$B$1001,A83,Log!$C$2:$C$1001,"Received",Log!$A$2:$A$1001,"&gt;"&amp;AA83)-SUMIFS(Log!$D$2:$D$1001,Log!$B$2:$B$1001,A83,Log!$C$2:$C$1001,"Used",Log!$A$2:$A$1001,"&gt;"&amp;AA83)+SUMIFS(Log!$D$2:$D$1001,Log!$B$2:$B$1001,A83,Log!$C$2:$C$1001,"Adjustment",Log!$A$2:$A$1001,"&gt;"&amp;AA83)))</f>
        <v/>
      </c>
      <c r="D83" s="32">
        <f>IF(A83="","",IF(X83&lt;&gt;"",X83,W83))</f>
        <v/>
      </c>
      <c r="E83" s="33">
        <f>IF(OR(A83="",N(O83)=0),"",C83/O83)</f>
        <v/>
      </c>
      <c r="F83" s="31">
        <f>IF(A83="","",MAX(0,N(T83)-SUMIFS(Log!$D$2:$D$1001,Log!$B$2:$B$1001,A83,Log!$C$2:$C$1001,"Received",Log!$A$2:$A$1001,"&gt;="&amp;N(U83))))</f>
        <v/>
      </c>
      <c r="G83" s="24" t="n"/>
      <c r="H83" s="24" t="n"/>
      <c r="I83" s="24" t="n"/>
      <c r="J83" s="24" t="n"/>
      <c r="K83" s="24" t="n"/>
      <c r="L83" s="34" t="n"/>
      <c r="M83" s="24" t="n"/>
      <c r="N83" s="24" t="n"/>
      <c r="O83" s="35" t="n"/>
      <c r="P83" s="25" t="n"/>
      <c r="Q83" s="36">
        <f>IF(A83="","",IF(P83&lt;&gt;"",P83,IFERROR(IF(N(INDEX(Suppliers!$E$5:$E$24,MATCH(H83,Suppliers!$B$5:$B$24,0)))&gt;0,INDEX(Suppliers!$E$5:$E$24,MATCH(H83,Suppliers!$B$5:$B$24,0)),5),5)))</f>
        <v/>
      </c>
      <c r="R83" s="35" t="n"/>
      <c r="S83" s="37" t="n"/>
      <c r="T83" s="25" t="n"/>
      <c r="U83" s="37" t="n"/>
      <c r="V83" s="37" t="n"/>
      <c r="W83" s="36">
        <f>IF(A83="","",ROUNDUP(N(O83)*(Q83/7+Settings!$C$5),0))</f>
        <v/>
      </c>
      <c r="X83" s="25" t="n"/>
      <c r="Y83" s="25" t="n"/>
      <c r="Z83" s="32">
        <f>IF(A83="","",IF(Y83&lt;&gt;"",Y83,MAX(1,ROUNDUP(N(O83)*Settings!$C$7,0))))</f>
        <v/>
      </c>
      <c r="AA83" s="38">
        <f>IF(A83="","",MAX(N(S83),_xlfn.MAXIFS(Log!$A$2:$A$1001,Log!$B$2:$B$1001,A83,Log!$C$2:$C$1001,"Count")))</f>
        <v/>
      </c>
      <c r="AB83" s="39">
        <f>IF(A83="","",Z83*N(L83))</f>
        <v/>
      </c>
      <c r="AC83" s="40">
        <f>IF(A83="","",N(O83)*52*N(L83))</f>
        <v/>
      </c>
      <c r="AD83" s="39">
        <f>IF(A83="","",C83*N(L83))</f>
        <v/>
      </c>
      <c r="AE83" s="41">
        <f>IF(A83="",0,IF(AND(OR(B83="Order now",B83="Critical"),F83=0),1,0))</f>
        <v/>
      </c>
      <c r="AF83" s="41">
        <f>IF(AE83=1,IFERROR(MATCH(H83,Suppliers!$B$5:$B$24,0),99)*1000+ROW(),"")</f>
        <v/>
      </c>
      <c r="AG83" s="41">
        <f>IF(AF83="","",COUNTIF('Stock list'!$AF$2:$AF$301,"&lt;"&amp;AF83)+1)</f>
        <v/>
      </c>
      <c r="AH83" s="41">
        <f>IF(A83="",0,IF(OR(AA83=0,AND(B83="OK",OR(C83&lt;=D83+N(O83)*Settings!$C$6,Settings!$C$10-AA83&gt;Settings!$C$8*7))),1,0))</f>
        <v/>
      </c>
      <c r="AI83" s="41">
        <f>IF(AH83=0,"",IF(AA83=0,"Never counted",IF(C83&lt;=D83+N(O83)*Settings!$C$6,"Near the reorder point","Not counted for "&amp;INT((Settings!$C$10-AA83)/7)&amp;" weeks")))</f>
        <v/>
      </c>
      <c r="AJ83" s="41">
        <f>IF(AH83=1,IFERROR(MATCH(M83,Settings!$G$19:$G$38,0),99)*1000+ROW(),"")</f>
        <v/>
      </c>
      <c r="AK83" s="41">
        <f>IF(AJ83="","",COUNTIF('Stock list'!$AJ$2:$AJ$301,"&lt;"&amp;AJ83)+1)</f>
        <v/>
      </c>
      <c r="AL83" s="41">
        <f>IF(OR(A83="",N(AC83)=0),"",AC83+ROW()/1000000)</f>
        <v/>
      </c>
    </row>
    <row r="84">
      <c r="A84" s="24" t="n"/>
      <c r="B84" s="30">
        <f>IF(A84="","",IF(AA84=0,"No count",IF(AND(N(O84)&gt;0,C84/O84*7&lt;Q84),"Critical",IF(F84&gt;0,"On order",IF(AND(D84&gt;0,C84&lt;=D84),"Order now","OK")))))</f>
        <v/>
      </c>
      <c r="C84" s="31">
        <f>IF(A84="","",MAX(0,IF(_xlfn.MAXIFS(Log!$A$2:$A$1001,Log!$B$2:$B$1001,A84,Log!$C$2:$C$1001,"Count")&gt;N(S84),_xlfn.MAXIFS(Log!$D$2:$D$1001,Log!$B$2:$B$1001,A84,Log!$C$2:$C$1001,"Count",Log!$A$2:$A$1001,AA84),N(R84))+SUMIFS(Log!$D$2:$D$1001,Log!$B$2:$B$1001,A84,Log!$C$2:$C$1001,"Received",Log!$A$2:$A$1001,"&gt;"&amp;AA84)-SUMIFS(Log!$D$2:$D$1001,Log!$B$2:$B$1001,A84,Log!$C$2:$C$1001,"Used",Log!$A$2:$A$1001,"&gt;"&amp;AA84)+SUMIFS(Log!$D$2:$D$1001,Log!$B$2:$B$1001,A84,Log!$C$2:$C$1001,"Adjustment",Log!$A$2:$A$1001,"&gt;"&amp;AA84)))</f>
        <v/>
      </c>
      <c r="D84" s="32">
        <f>IF(A84="","",IF(X84&lt;&gt;"",X84,W84))</f>
        <v/>
      </c>
      <c r="E84" s="33">
        <f>IF(OR(A84="",N(O84)=0),"",C84/O84)</f>
        <v/>
      </c>
      <c r="F84" s="31">
        <f>IF(A84="","",MAX(0,N(T84)-SUMIFS(Log!$D$2:$D$1001,Log!$B$2:$B$1001,A84,Log!$C$2:$C$1001,"Received",Log!$A$2:$A$1001,"&gt;="&amp;N(U84))))</f>
        <v/>
      </c>
      <c r="G84" s="24" t="n"/>
      <c r="H84" s="24" t="n"/>
      <c r="I84" s="24" t="n"/>
      <c r="J84" s="24" t="n"/>
      <c r="K84" s="24" t="n"/>
      <c r="L84" s="34" t="n"/>
      <c r="M84" s="24" t="n"/>
      <c r="N84" s="24" t="n"/>
      <c r="O84" s="35" t="n"/>
      <c r="P84" s="25" t="n"/>
      <c r="Q84" s="36">
        <f>IF(A84="","",IF(P84&lt;&gt;"",P84,IFERROR(IF(N(INDEX(Suppliers!$E$5:$E$24,MATCH(H84,Suppliers!$B$5:$B$24,0)))&gt;0,INDEX(Suppliers!$E$5:$E$24,MATCH(H84,Suppliers!$B$5:$B$24,0)),5),5)))</f>
        <v/>
      </c>
      <c r="R84" s="35" t="n"/>
      <c r="S84" s="37" t="n"/>
      <c r="T84" s="25" t="n"/>
      <c r="U84" s="37" t="n"/>
      <c r="V84" s="37" t="n"/>
      <c r="W84" s="36">
        <f>IF(A84="","",ROUNDUP(N(O84)*(Q84/7+Settings!$C$5),0))</f>
        <v/>
      </c>
      <c r="X84" s="25" t="n"/>
      <c r="Y84" s="25" t="n"/>
      <c r="Z84" s="32">
        <f>IF(A84="","",IF(Y84&lt;&gt;"",Y84,MAX(1,ROUNDUP(N(O84)*Settings!$C$7,0))))</f>
        <v/>
      </c>
      <c r="AA84" s="38">
        <f>IF(A84="","",MAX(N(S84),_xlfn.MAXIFS(Log!$A$2:$A$1001,Log!$B$2:$B$1001,A84,Log!$C$2:$C$1001,"Count")))</f>
        <v/>
      </c>
      <c r="AB84" s="39">
        <f>IF(A84="","",Z84*N(L84))</f>
        <v/>
      </c>
      <c r="AC84" s="40">
        <f>IF(A84="","",N(O84)*52*N(L84))</f>
        <v/>
      </c>
      <c r="AD84" s="39">
        <f>IF(A84="","",C84*N(L84))</f>
        <v/>
      </c>
      <c r="AE84" s="41">
        <f>IF(A84="",0,IF(AND(OR(B84="Order now",B84="Critical"),F84=0),1,0))</f>
        <v/>
      </c>
      <c r="AF84" s="41">
        <f>IF(AE84=1,IFERROR(MATCH(H84,Suppliers!$B$5:$B$24,0),99)*1000+ROW(),"")</f>
        <v/>
      </c>
      <c r="AG84" s="41">
        <f>IF(AF84="","",COUNTIF('Stock list'!$AF$2:$AF$301,"&lt;"&amp;AF84)+1)</f>
        <v/>
      </c>
      <c r="AH84" s="41">
        <f>IF(A84="",0,IF(OR(AA84=0,AND(B84="OK",OR(C84&lt;=D84+N(O84)*Settings!$C$6,Settings!$C$10-AA84&gt;Settings!$C$8*7))),1,0))</f>
        <v/>
      </c>
      <c r="AI84" s="41">
        <f>IF(AH84=0,"",IF(AA84=0,"Never counted",IF(C84&lt;=D84+N(O84)*Settings!$C$6,"Near the reorder point","Not counted for "&amp;INT((Settings!$C$10-AA84)/7)&amp;" weeks")))</f>
        <v/>
      </c>
      <c r="AJ84" s="41">
        <f>IF(AH84=1,IFERROR(MATCH(M84,Settings!$G$19:$G$38,0),99)*1000+ROW(),"")</f>
        <v/>
      </c>
      <c r="AK84" s="41">
        <f>IF(AJ84="","",COUNTIF('Stock list'!$AJ$2:$AJ$301,"&lt;"&amp;AJ84)+1)</f>
        <v/>
      </c>
      <c r="AL84" s="41">
        <f>IF(OR(A84="",N(AC84)=0),"",AC84+ROW()/1000000)</f>
        <v/>
      </c>
    </row>
    <row r="85">
      <c r="A85" s="24" t="n"/>
      <c r="B85" s="30">
        <f>IF(A85="","",IF(AA85=0,"No count",IF(AND(N(O85)&gt;0,C85/O85*7&lt;Q85),"Critical",IF(F85&gt;0,"On order",IF(AND(D85&gt;0,C85&lt;=D85),"Order now","OK")))))</f>
        <v/>
      </c>
      <c r="C85" s="31">
        <f>IF(A85="","",MAX(0,IF(_xlfn.MAXIFS(Log!$A$2:$A$1001,Log!$B$2:$B$1001,A85,Log!$C$2:$C$1001,"Count")&gt;N(S85),_xlfn.MAXIFS(Log!$D$2:$D$1001,Log!$B$2:$B$1001,A85,Log!$C$2:$C$1001,"Count",Log!$A$2:$A$1001,AA85),N(R85))+SUMIFS(Log!$D$2:$D$1001,Log!$B$2:$B$1001,A85,Log!$C$2:$C$1001,"Received",Log!$A$2:$A$1001,"&gt;"&amp;AA85)-SUMIFS(Log!$D$2:$D$1001,Log!$B$2:$B$1001,A85,Log!$C$2:$C$1001,"Used",Log!$A$2:$A$1001,"&gt;"&amp;AA85)+SUMIFS(Log!$D$2:$D$1001,Log!$B$2:$B$1001,A85,Log!$C$2:$C$1001,"Adjustment",Log!$A$2:$A$1001,"&gt;"&amp;AA85)))</f>
        <v/>
      </c>
      <c r="D85" s="32">
        <f>IF(A85="","",IF(X85&lt;&gt;"",X85,W85))</f>
        <v/>
      </c>
      <c r="E85" s="33">
        <f>IF(OR(A85="",N(O85)=0),"",C85/O85)</f>
        <v/>
      </c>
      <c r="F85" s="31">
        <f>IF(A85="","",MAX(0,N(T85)-SUMIFS(Log!$D$2:$D$1001,Log!$B$2:$B$1001,A85,Log!$C$2:$C$1001,"Received",Log!$A$2:$A$1001,"&gt;="&amp;N(U85))))</f>
        <v/>
      </c>
      <c r="G85" s="24" t="n"/>
      <c r="H85" s="24" t="n"/>
      <c r="I85" s="24" t="n"/>
      <c r="J85" s="24" t="n"/>
      <c r="K85" s="24" t="n"/>
      <c r="L85" s="34" t="n"/>
      <c r="M85" s="24" t="n"/>
      <c r="N85" s="24" t="n"/>
      <c r="O85" s="35" t="n"/>
      <c r="P85" s="25" t="n"/>
      <c r="Q85" s="36">
        <f>IF(A85="","",IF(P85&lt;&gt;"",P85,IFERROR(IF(N(INDEX(Suppliers!$E$5:$E$24,MATCH(H85,Suppliers!$B$5:$B$24,0)))&gt;0,INDEX(Suppliers!$E$5:$E$24,MATCH(H85,Suppliers!$B$5:$B$24,0)),5),5)))</f>
        <v/>
      </c>
      <c r="R85" s="35" t="n"/>
      <c r="S85" s="37" t="n"/>
      <c r="T85" s="25" t="n"/>
      <c r="U85" s="37" t="n"/>
      <c r="V85" s="37" t="n"/>
      <c r="W85" s="36">
        <f>IF(A85="","",ROUNDUP(N(O85)*(Q85/7+Settings!$C$5),0))</f>
        <v/>
      </c>
      <c r="X85" s="25" t="n"/>
      <c r="Y85" s="25" t="n"/>
      <c r="Z85" s="32">
        <f>IF(A85="","",IF(Y85&lt;&gt;"",Y85,MAX(1,ROUNDUP(N(O85)*Settings!$C$7,0))))</f>
        <v/>
      </c>
      <c r="AA85" s="38">
        <f>IF(A85="","",MAX(N(S85),_xlfn.MAXIFS(Log!$A$2:$A$1001,Log!$B$2:$B$1001,A85,Log!$C$2:$C$1001,"Count")))</f>
        <v/>
      </c>
      <c r="AB85" s="39">
        <f>IF(A85="","",Z85*N(L85))</f>
        <v/>
      </c>
      <c r="AC85" s="40">
        <f>IF(A85="","",N(O85)*52*N(L85))</f>
        <v/>
      </c>
      <c r="AD85" s="39">
        <f>IF(A85="","",C85*N(L85))</f>
        <v/>
      </c>
      <c r="AE85" s="41">
        <f>IF(A85="",0,IF(AND(OR(B85="Order now",B85="Critical"),F85=0),1,0))</f>
        <v/>
      </c>
      <c r="AF85" s="41">
        <f>IF(AE85=1,IFERROR(MATCH(H85,Suppliers!$B$5:$B$24,0),99)*1000+ROW(),"")</f>
        <v/>
      </c>
      <c r="AG85" s="41">
        <f>IF(AF85="","",COUNTIF('Stock list'!$AF$2:$AF$301,"&lt;"&amp;AF85)+1)</f>
        <v/>
      </c>
      <c r="AH85" s="41">
        <f>IF(A85="",0,IF(OR(AA85=0,AND(B85="OK",OR(C85&lt;=D85+N(O85)*Settings!$C$6,Settings!$C$10-AA85&gt;Settings!$C$8*7))),1,0))</f>
        <v/>
      </c>
      <c r="AI85" s="41">
        <f>IF(AH85=0,"",IF(AA85=0,"Never counted",IF(C85&lt;=D85+N(O85)*Settings!$C$6,"Near the reorder point","Not counted for "&amp;INT((Settings!$C$10-AA85)/7)&amp;" weeks")))</f>
        <v/>
      </c>
      <c r="AJ85" s="41">
        <f>IF(AH85=1,IFERROR(MATCH(M85,Settings!$G$19:$G$38,0),99)*1000+ROW(),"")</f>
        <v/>
      </c>
      <c r="AK85" s="41">
        <f>IF(AJ85="","",COUNTIF('Stock list'!$AJ$2:$AJ$301,"&lt;"&amp;AJ85)+1)</f>
        <v/>
      </c>
      <c r="AL85" s="41">
        <f>IF(OR(A85="",N(AC85)=0),"",AC85+ROW()/1000000)</f>
        <v/>
      </c>
    </row>
    <row r="86">
      <c r="A86" s="24" t="n"/>
      <c r="B86" s="30">
        <f>IF(A86="","",IF(AA86=0,"No count",IF(AND(N(O86)&gt;0,C86/O86*7&lt;Q86),"Critical",IF(F86&gt;0,"On order",IF(AND(D86&gt;0,C86&lt;=D86),"Order now","OK")))))</f>
        <v/>
      </c>
      <c r="C86" s="31">
        <f>IF(A86="","",MAX(0,IF(_xlfn.MAXIFS(Log!$A$2:$A$1001,Log!$B$2:$B$1001,A86,Log!$C$2:$C$1001,"Count")&gt;N(S86),_xlfn.MAXIFS(Log!$D$2:$D$1001,Log!$B$2:$B$1001,A86,Log!$C$2:$C$1001,"Count",Log!$A$2:$A$1001,AA86),N(R86))+SUMIFS(Log!$D$2:$D$1001,Log!$B$2:$B$1001,A86,Log!$C$2:$C$1001,"Received",Log!$A$2:$A$1001,"&gt;"&amp;AA86)-SUMIFS(Log!$D$2:$D$1001,Log!$B$2:$B$1001,A86,Log!$C$2:$C$1001,"Used",Log!$A$2:$A$1001,"&gt;"&amp;AA86)+SUMIFS(Log!$D$2:$D$1001,Log!$B$2:$B$1001,A86,Log!$C$2:$C$1001,"Adjustment",Log!$A$2:$A$1001,"&gt;"&amp;AA86)))</f>
        <v/>
      </c>
      <c r="D86" s="32">
        <f>IF(A86="","",IF(X86&lt;&gt;"",X86,W86))</f>
        <v/>
      </c>
      <c r="E86" s="33">
        <f>IF(OR(A86="",N(O86)=0),"",C86/O86)</f>
        <v/>
      </c>
      <c r="F86" s="31">
        <f>IF(A86="","",MAX(0,N(T86)-SUMIFS(Log!$D$2:$D$1001,Log!$B$2:$B$1001,A86,Log!$C$2:$C$1001,"Received",Log!$A$2:$A$1001,"&gt;="&amp;N(U86))))</f>
        <v/>
      </c>
      <c r="G86" s="24" t="n"/>
      <c r="H86" s="24" t="n"/>
      <c r="I86" s="24" t="n"/>
      <c r="J86" s="24" t="n"/>
      <c r="K86" s="24" t="n"/>
      <c r="L86" s="34" t="n"/>
      <c r="M86" s="24" t="n"/>
      <c r="N86" s="24" t="n"/>
      <c r="O86" s="35" t="n"/>
      <c r="P86" s="25" t="n"/>
      <c r="Q86" s="36">
        <f>IF(A86="","",IF(P86&lt;&gt;"",P86,IFERROR(IF(N(INDEX(Suppliers!$E$5:$E$24,MATCH(H86,Suppliers!$B$5:$B$24,0)))&gt;0,INDEX(Suppliers!$E$5:$E$24,MATCH(H86,Suppliers!$B$5:$B$24,0)),5),5)))</f>
        <v/>
      </c>
      <c r="R86" s="35" t="n"/>
      <c r="S86" s="37" t="n"/>
      <c r="T86" s="25" t="n"/>
      <c r="U86" s="37" t="n"/>
      <c r="V86" s="37" t="n"/>
      <c r="W86" s="36">
        <f>IF(A86="","",ROUNDUP(N(O86)*(Q86/7+Settings!$C$5),0))</f>
        <v/>
      </c>
      <c r="X86" s="25" t="n"/>
      <c r="Y86" s="25" t="n"/>
      <c r="Z86" s="32">
        <f>IF(A86="","",IF(Y86&lt;&gt;"",Y86,MAX(1,ROUNDUP(N(O86)*Settings!$C$7,0))))</f>
        <v/>
      </c>
      <c r="AA86" s="38">
        <f>IF(A86="","",MAX(N(S86),_xlfn.MAXIFS(Log!$A$2:$A$1001,Log!$B$2:$B$1001,A86,Log!$C$2:$C$1001,"Count")))</f>
        <v/>
      </c>
      <c r="AB86" s="39">
        <f>IF(A86="","",Z86*N(L86))</f>
        <v/>
      </c>
      <c r="AC86" s="40">
        <f>IF(A86="","",N(O86)*52*N(L86))</f>
        <v/>
      </c>
      <c r="AD86" s="39">
        <f>IF(A86="","",C86*N(L86))</f>
        <v/>
      </c>
      <c r="AE86" s="41">
        <f>IF(A86="",0,IF(AND(OR(B86="Order now",B86="Critical"),F86=0),1,0))</f>
        <v/>
      </c>
      <c r="AF86" s="41">
        <f>IF(AE86=1,IFERROR(MATCH(H86,Suppliers!$B$5:$B$24,0),99)*1000+ROW(),"")</f>
        <v/>
      </c>
      <c r="AG86" s="41">
        <f>IF(AF86="","",COUNTIF('Stock list'!$AF$2:$AF$301,"&lt;"&amp;AF86)+1)</f>
        <v/>
      </c>
      <c r="AH86" s="41">
        <f>IF(A86="",0,IF(OR(AA86=0,AND(B86="OK",OR(C86&lt;=D86+N(O86)*Settings!$C$6,Settings!$C$10-AA86&gt;Settings!$C$8*7))),1,0))</f>
        <v/>
      </c>
      <c r="AI86" s="41">
        <f>IF(AH86=0,"",IF(AA86=0,"Never counted",IF(C86&lt;=D86+N(O86)*Settings!$C$6,"Near the reorder point","Not counted for "&amp;INT((Settings!$C$10-AA86)/7)&amp;" weeks")))</f>
        <v/>
      </c>
      <c r="AJ86" s="41">
        <f>IF(AH86=1,IFERROR(MATCH(M86,Settings!$G$19:$G$38,0),99)*1000+ROW(),"")</f>
        <v/>
      </c>
      <c r="AK86" s="41">
        <f>IF(AJ86="","",COUNTIF('Stock list'!$AJ$2:$AJ$301,"&lt;"&amp;AJ86)+1)</f>
        <v/>
      </c>
      <c r="AL86" s="41">
        <f>IF(OR(A86="",N(AC86)=0),"",AC86+ROW()/1000000)</f>
        <v/>
      </c>
    </row>
    <row r="87">
      <c r="A87" s="24" t="n"/>
      <c r="B87" s="30">
        <f>IF(A87="","",IF(AA87=0,"No count",IF(AND(N(O87)&gt;0,C87/O87*7&lt;Q87),"Critical",IF(F87&gt;0,"On order",IF(AND(D87&gt;0,C87&lt;=D87),"Order now","OK")))))</f>
        <v/>
      </c>
      <c r="C87" s="31">
        <f>IF(A87="","",MAX(0,IF(_xlfn.MAXIFS(Log!$A$2:$A$1001,Log!$B$2:$B$1001,A87,Log!$C$2:$C$1001,"Count")&gt;N(S87),_xlfn.MAXIFS(Log!$D$2:$D$1001,Log!$B$2:$B$1001,A87,Log!$C$2:$C$1001,"Count",Log!$A$2:$A$1001,AA87),N(R87))+SUMIFS(Log!$D$2:$D$1001,Log!$B$2:$B$1001,A87,Log!$C$2:$C$1001,"Received",Log!$A$2:$A$1001,"&gt;"&amp;AA87)-SUMIFS(Log!$D$2:$D$1001,Log!$B$2:$B$1001,A87,Log!$C$2:$C$1001,"Used",Log!$A$2:$A$1001,"&gt;"&amp;AA87)+SUMIFS(Log!$D$2:$D$1001,Log!$B$2:$B$1001,A87,Log!$C$2:$C$1001,"Adjustment",Log!$A$2:$A$1001,"&gt;"&amp;AA87)))</f>
        <v/>
      </c>
      <c r="D87" s="32">
        <f>IF(A87="","",IF(X87&lt;&gt;"",X87,W87))</f>
        <v/>
      </c>
      <c r="E87" s="33">
        <f>IF(OR(A87="",N(O87)=0),"",C87/O87)</f>
        <v/>
      </c>
      <c r="F87" s="31">
        <f>IF(A87="","",MAX(0,N(T87)-SUMIFS(Log!$D$2:$D$1001,Log!$B$2:$B$1001,A87,Log!$C$2:$C$1001,"Received",Log!$A$2:$A$1001,"&gt;="&amp;N(U87))))</f>
        <v/>
      </c>
      <c r="G87" s="24" t="n"/>
      <c r="H87" s="24" t="n"/>
      <c r="I87" s="24" t="n"/>
      <c r="J87" s="24" t="n"/>
      <c r="K87" s="24" t="n"/>
      <c r="L87" s="34" t="n"/>
      <c r="M87" s="24" t="n"/>
      <c r="N87" s="24" t="n"/>
      <c r="O87" s="35" t="n"/>
      <c r="P87" s="25" t="n"/>
      <c r="Q87" s="36">
        <f>IF(A87="","",IF(P87&lt;&gt;"",P87,IFERROR(IF(N(INDEX(Suppliers!$E$5:$E$24,MATCH(H87,Suppliers!$B$5:$B$24,0)))&gt;0,INDEX(Suppliers!$E$5:$E$24,MATCH(H87,Suppliers!$B$5:$B$24,0)),5),5)))</f>
        <v/>
      </c>
      <c r="R87" s="35" t="n"/>
      <c r="S87" s="37" t="n"/>
      <c r="T87" s="25" t="n"/>
      <c r="U87" s="37" t="n"/>
      <c r="V87" s="37" t="n"/>
      <c r="W87" s="36">
        <f>IF(A87="","",ROUNDUP(N(O87)*(Q87/7+Settings!$C$5),0))</f>
        <v/>
      </c>
      <c r="X87" s="25" t="n"/>
      <c r="Y87" s="25" t="n"/>
      <c r="Z87" s="32">
        <f>IF(A87="","",IF(Y87&lt;&gt;"",Y87,MAX(1,ROUNDUP(N(O87)*Settings!$C$7,0))))</f>
        <v/>
      </c>
      <c r="AA87" s="38">
        <f>IF(A87="","",MAX(N(S87),_xlfn.MAXIFS(Log!$A$2:$A$1001,Log!$B$2:$B$1001,A87,Log!$C$2:$C$1001,"Count")))</f>
        <v/>
      </c>
      <c r="AB87" s="39">
        <f>IF(A87="","",Z87*N(L87))</f>
        <v/>
      </c>
      <c r="AC87" s="40">
        <f>IF(A87="","",N(O87)*52*N(L87))</f>
        <v/>
      </c>
      <c r="AD87" s="39">
        <f>IF(A87="","",C87*N(L87))</f>
        <v/>
      </c>
      <c r="AE87" s="41">
        <f>IF(A87="",0,IF(AND(OR(B87="Order now",B87="Critical"),F87=0),1,0))</f>
        <v/>
      </c>
      <c r="AF87" s="41">
        <f>IF(AE87=1,IFERROR(MATCH(H87,Suppliers!$B$5:$B$24,0),99)*1000+ROW(),"")</f>
        <v/>
      </c>
      <c r="AG87" s="41">
        <f>IF(AF87="","",COUNTIF('Stock list'!$AF$2:$AF$301,"&lt;"&amp;AF87)+1)</f>
        <v/>
      </c>
      <c r="AH87" s="41">
        <f>IF(A87="",0,IF(OR(AA87=0,AND(B87="OK",OR(C87&lt;=D87+N(O87)*Settings!$C$6,Settings!$C$10-AA87&gt;Settings!$C$8*7))),1,0))</f>
        <v/>
      </c>
      <c r="AI87" s="41">
        <f>IF(AH87=0,"",IF(AA87=0,"Never counted",IF(C87&lt;=D87+N(O87)*Settings!$C$6,"Near the reorder point","Not counted for "&amp;INT((Settings!$C$10-AA87)/7)&amp;" weeks")))</f>
        <v/>
      </c>
      <c r="AJ87" s="41">
        <f>IF(AH87=1,IFERROR(MATCH(M87,Settings!$G$19:$G$38,0),99)*1000+ROW(),"")</f>
        <v/>
      </c>
      <c r="AK87" s="41">
        <f>IF(AJ87="","",COUNTIF('Stock list'!$AJ$2:$AJ$301,"&lt;"&amp;AJ87)+1)</f>
        <v/>
      </c>
      <c r="AL87" s="41">
        <f>IF(OR(A87="",N(AC87)=0),"",AC87+ROW()/1000000)</f>
        <v/>
      </c>
    </row>
    <row r="88">
      <c r="A88" s="24" t="n"/>
      <c r="B88" s="30">
        <f>IF(A88="","",IF(AA88=0,"No count",IF(AND(N(O88)&gt;0,C88/O88*7&lt;Q88),"Critical",IF(F88&gt;0,"On order",IF(AND(D88&gt;0,C88&lt;=D88),"Order now","OK")))))</f>
        <v/>
      </c>
      <c r="C88" s="31">
        <f>IF(A88="","",MAX(0,IF(_xlfn.MAXIFS(Log!$A$2:$A$1001,Log!$B$2:$B$1001,A88,Log!$C$2:$C$1001,"Count")&gt;N(S88),_xlfn.MAXIFS(Log!$D$2:$D$1001,Log!$B$2:$B$1001,A88,Log!$C$2:$C$1001,"Count",Log!$A$2:$A$1001,AA88),N(R88))+SUMIFS(Log!$D$2:$D$1001,Log!$B$2:$B$1001,A88,Log!$C$2:$C$1001,"Received",Log!$A$2:$A$1001,"&gt;"&amp;AA88)-SUMIFS(Log!$D$2:$D$1001,Log!$B$2:$B$1001,A88,Log!$C$2:$C$1001,"Used",Log!$A$2:$A$1001,"&gt;"&amp;AA88)+SUMIFS(Log!$D$2:$D$1001,Log!$B$2:$B$1001,A88,Log!$C$2:$C$1001,"Adjustment",Log!$A$2:$A$1001,"&gt;"&amp;AA88)))</f>
        <v/>
      </c>
      <c r="D88" s="32">
        <f>IF(A88="","",IF(X88&lt;&gt;"",X88,W88))</f>
        <v/>
      </c>
      <c r="E88" s="33">
        <f>IF(OR(A88="",N(O88)=0),"",C88/O88)</f>
        <v/>
      </c>
      <c r="F88" s="31">
        <f>IF(A88="","",MAX(0,N(T88)-SUMIFS(Log!$D$2:$D$1001,Log!$B$2:$B$1001,A88,Log!$C$2:$C$1001,"Received",Log!$A$2:$A$1001,"&gt;="&amp;N(U88))))</f>
        <v/>
      </c>
      <c r="G88" s="24" t="n"/>
      <c r="H88" s="24" t="n"/>
      <c r="I88" s="24" t="n"/>
      <c r="J88" s="24" t="n"/>
      <c r="K88" s="24" t="n"/>
      <c r="L88" s="34" t="n"/>
      <c r="M88" s="24" t="n"/>
      <c r="N88" s="24" t="n"/>
      <c r="O88" s="35" t="n"/>
      <c r="P88" s="25" t="n"/>
      <c r="Q88" s="36">
        <f>IF(A88="","",IF(P88&lt;&gt;"",P88,IFERROR(IF(N(INDEX(Suppliers!$E$5:$E$24,MATCH(H88,Suppliers!$B$5:$B$24,0)))&gt;0,INDEX(Suppliers!$E$5:$E$24,MATCH(H88,Suppliers!$B$5:$B$24,0)),5),5)))</f>
        <v/>
      </c>
      <c r="R88" s="35" t="n"/>
      <c r="S88" s="37" t="n"/>
      <c r="T88" s="25" t="n"/>
      <c r="U88" s="37" t="n"/>
      <c r="V88" s="37" t="n"/>
      <c r="W88" s="36">
        <f>IF(A88="","",ROUNDUP(N(O88)*(Q88/7+Settings!$C$5),0))</f>
        <v/>
      </c>
      <c r="X88" s="25" t="n"/>
      <c r="Y88" s="25" t="n"/>
      <c r="Z88" s="32">
        <f>IF(A88="","",IF(Y88&lt;&gt;"",Y88,MAX(1,ROUNDUP(N(O88)*Settings!$C$7,0))))</f>
        <v/>
      </c>
      <c r="AA88" s="38">
        <f>IF(A88="","",MAX(N(S88),_xlfn.MAXIFS(Log!$A$2:$A$1001,Log!$B$2:$B$1001,A88,Log!$C$2:$C$1001,"Count")))</f>
        <v/>
      </c>
      <c r="AB88" s="39">
        <f>IF(A88="","",Z88*N(L88))</f>
        <v/>
      </c>
      <c r="AC88" s="40">
        <f>IF(A88="","",N(O88)*52*N(L88))</f>
        <v/>
      </c>
      <c r="AD88" s="39">
        <f>IF(A88="","",C88*N(L88))</f>
        <v/>
      </c>
      <c r="AE88" s="41">
        <f>IF(A88="",0,IF(AND(OR(B88="Order now",B88="Critical"),F88=0),1,0))</f>
        <v/>
      </c>
      <c r="AF88" s="41">
        <f>IF(AE88=1,IFERROR(MATCH(H88,Suppliers!$B$5:$B$24,0),99)*1000+ROW(),"")</f>
        <v/>
      </c>
      <c r="AG88" s="41">
        <f>IF(AF88="","",COUNTIF('Stock list'!$AF$2:$AF$301,"&lt;"&amp;AF88)+1)</f>
        <v/>
      </c>
      <c r="AH88" s="41">
        <f>IF(A88="",0,IF(OR(AA88=0,AND(B88="OK",OR(C88&lt;=D88+N(O88)*Settings!$C$6,Settings!$C$10-AA88&gt;Settings!$C$8*7))),1,0))</f>
        <v/>
      </c>
      <c r="AI88" s="41">
        <f>IF(AH88=0,"",IF(AA88=0,"Never counted",IF(C88&lt;=D88+N(O88)*Settings!$C$6,"Near the reorder point","Not counted for "&amp;INT((Settings!$C$10-AA88)/7)&amp;" weeks")))</f>
        <v/>
      </c>
      <c r="AJ88" s="41">
        <f>IF(AH88=1,IFERROR(MATCH(M88,Settings!$G$19:$G$38,0),99)*1000+ROW(),"")</f>
        <v/>
      </c>
      <c r="AK88" s="41">
        <f>IF(AJ88="","",COUNTIF('Stock list'!$AJ$2:$AJ$301,"&lt;"&amp;AJ88)+1)</f>
        <v/>
      </c>
      <c r="AL88" s="41">
        <f>IF(OR(A88="",N(AC88)=0),"",AC88+ROW()/1000000)</f>
        <v/>
      </c>
    </row>
    <row r="89">
      <c r="A89" s="24" t="n"/>
      <c r="B89" s="30">
        <f>IF(A89="","",IF(AA89=0,"No count",IF(AND(N(O89)&gt;0,C89/O89*7&lt;Q89),"Critical",IF(F89&gt;0,"On order",IF(AND(D89&gt;0,C89&lt;=D89),"Order now","OK")))))</f>
        <v/>
      </c>
      <c r="C89" s="31">
        <f>IF(A89="","",MAX(0,IF(_xlfn.MAXIFS(Log!$A$2:$A$1001,Log!$B$2:$B$1001,A89,Log!$C$2:$C$1001,"Count")&gt;N(S89),_xlfn.MAXIFS(Log!$D$2:$D$1001,Log!$B$2:$B$1001,A89,Log!$C$2:$C$1001,"Count",Log!$A$2:$A$1001,AA89),N(R89))+SUMIFS(Log!$D$2:$D$1001,Log!$B$2:$B$1001,A89,Log!$C$2:$C$1001,"Received",Log!$A$2:$A$1001,"&gt;"&amp;AA89)-SUMIFS(Log!$D$2:$D$1001,Log!$B$2:$B$1001,A89,Log!$C$2:$C$1001,"Used",Log!$A$2:$A$1001,"&gt;"&amp;AA89)+SUMIFS(Log!$D$2:$D$1001,Log!$B$2:$B$1001,A89,Log!$C$2:$C$1001,"Adjustment",Log!$A$2:$A$1001,"&gt;"&amp;AA89)))</f>
        <v/>
      </c>
      <c r="D89" s="32">
        <f>IF(A89="","",IF(X89&lt;&gt;"",X89,W89))</f>
        <v/>
      </c>
      <c r="E89" s="33">
        <f>IF(OR(A89="",N(O89)=0),"",C89/O89)</f>
        <v/>
      </c>
      <c r="F89" s="31">
        <f>IF(A89="","",MAX(0,N(T89)-SUMIFS(Log!$D$2:$D$1001,Log!$B$2:$B$1001,A89,Log!$C$2:$C$1001,"Received",Log!$A$2:$A$1001,"&gt;="&amp;N(U89))))</f>
        <v/>
      </c>
      <c r="G89" s="24" t="n"/>
      <c r="H89" s="24" t="n"/>
      <c r="I89" s="24" t="n"/>
      <c r="J89" s="24" t="n"/>
      <c r="K89" s="24" t="n"/>
      <c r="L89" s="34" t="n"/>
      <c r="M89" s="24" t="n"/>
      <c r="N89" s="24" t="n"/>
      <c r="O89" s="35" t="n"/>
      <c r="P89" s="25" t="n"/>
      <c r="Q89" s="36">
        <f>IF(A89="","",IF(P89&lt;&gt;"",P89,IFERROR(IF(N(INDEX(Suppliers!$E$5:$E$24,MATCH(H89,Suppliers!$B$5:$B$24,0)))&gt;0,INDEX(Suppliers!$E$5:$E$24,MATCH(H89,Suppliers!$B$5:$B$24,0)),5),5)))</f>
        <v/>
      </c>
      <c r="R89" s="35" t="n"/>
      <c r="S89" s="37" t="n"/>
      <c r="T89" s="25" t="n"/>
      <c r="U89" s="37" t="n"/>
      <c r="V89" s="37" t="n"/>
      <c r="W89" s="36">
        <f>IF(A89="","",ROUNDUP(N(O89)*(Q89/7+Settings!$C$5),0))</f>
        <v/>
      </c>
      <c r="X89" s="25" t="n"/>
      <c r="Y89" s="25" t="n"/>
      <c r="Z89" s="32">
        <f>IF(A89="","",IF(Y89&lt;&gt;"",Y89,MAX(1,ROUNDUP(N(O89)*Settings!$C$7,0))))</f>
        <v/>
      </c>
      <c r="AA89" s="38">
        <f>IF(A89="","",MAX(N(S89),_xlfn.MAXIFS(Log!$A$2:$A$1001,Log!$B$2:$B$1001,A89,Log!$C$2:$C$1001,"Count")))</f>
        <v/>
      </c>
      <c r="AB89" s="39">
        <f>IF(A89="","",Z89*N(L89))</f>
        <v/>
      </c>
      <c r="AC89" s="40">
        <f>IF(A89="","",N(O89)*52*N(L89))</f>
        <v/>
      </c>
      <c r="AD89" s="39">
        <f>IF(A89="","",C89*N(L89))</f>
        <v/>
      </c>
      <c r="AE89" s="41">
        <f>IF(A89="",0,IF(AND(OR(B89="Order now",B89="Critical"),F89=0),1,0))</f>
        <v/>
      </c>
      <c r="AF89" s="41">
        <f>IF(AE89=1,IFERROR(MATCH(H89,Suppliers!$B$5:$B$24,0),99)*1000+ROW(),"")</f>
        <v/>
      </c>
      <c r="AG89" s="41">
        <f>IF(AF89="","",COUNTIF('Stock list'!$AF$2:$AF$301,"&lt;"&amp;AF89)+1)</f>
        <v/>
      </c>
      <c r="AH89" s="41">
        <f>IF(A89="",0,IF(OR(AA89=0,AND(B89="OK",OR(C89&lt;=D89+N(O89)*Settings!$C$6,Settings!$C$10-AA89&gt;Settings!$C$8*7))),1,0))</f>
        <v/>
      </c>
      <c r="AI89" s="41">
        <f>IF(AH89=0,"",IF(AA89=0,"Never counted",IF(C89&lt;=D89+N(O89)*Settings!$C$6,"Near the reorder point","Not counted for "&amp;INT((Settings!$C$10-AA89)/7)&amp;" weeks")))</f>
        <v/>
      </c>
      <c r="AJ89" s="41">
        <f>IF(AH89=1,IFERROR(MATCH(M89,Settings!$G$19:$G$38,0),99)*1000+ROW(),"")</f>
        <v/>
      </c>
      <c r="AK89" s="41">
        <f>IF(AJ89="","",COUNTIF('Stock list'!$AJ$2:$AJ$301,"&lt;"&amp;AJ89)+1)</f>
        <v/>
      </c>
      <c r="AL89" s="41">
        <f>IF(OR(A89="",N(AC89)=0),"",AC89+ROW()/1000000)</f>
        <v/>
      </c>
    </row>
    <row r="90">
      <c r="A90" s="24" t="n"/>
      <c r="B90" s="30">
        <f>IF(A90="","",IF(AA90=0,"No count",IF(AND(N(O90)&gt;0,C90/O90*7&lt;Q90),"Critical",IF(F90&gt;0,"On order",IF(AND(D90&gt;0,C90&lt;=D90),"Order now","OK")))))</f>
        <v/>
      </c>
      <c r="C90" s="31">
        <f>IF(A90="","",MAX(0,IF(_xlfn.MAXIFS(Log!$A$2:$A$1001,Log!$B$2:$B$1001,A90,Log!$C$2:$C$1001,"Count")&gt;N(S90),_xlfn.MAXIFS(Log!$D$2:$D$1001,Log!$B$2:$B$1001,A90,Log!$C$2:$C$1001,"Count",Log!$A$2:$A$1001,AA90),N(R90))+SUMIFS(Log!$D$2:$D$1001,Log!$B$2:$B$1001,A90,Log!$C$2:$C$1001,"Received",Log!$A$2:$A$1001,"&gt;"&amp;AA90)-SUMIFS(Log!$D$2:$D$1001,Log!$B$2:$B$1001,A90,Log!$C$2:$C$1001,"Used",Log!$A$2:$A$1001,"&gt;"&amp;AA90)+SUMIFS(Log!$D$2:$D$1001,Log!$B$2:$B$1001,A90,Log!$C$2:$C$1001,"Adjustment",Log!$A$2:$A$1001,"&gt;"&amp;AA90)))</f>
        <v/>
      </c>
      <c r="D90" s="32">
        <f>IF(A90="","",IF(X90&lt;&gt;"",X90,W90))</f>
        <v/>
      </c>
      <c r="E90" s="33">
        <f>IF(OR(A90="",N(O90)=0),"",C90/O90)</f>
        <v/>
      </c>
      <c r="F90" s="31">
        <f>IF(A90="","",MAX(0,N(T90)-SUMIFS(Log!$D$2:$D$1001,Log!$B$2:$B$1001,A90,Log!$C$2:$C$1001,"Received",Log!$A$2:$A$1001,"&gt;="&amp;N(U90))))</f>
        <v/>
      </c>
      <c r="G90" s="24" t="n"/>
      <c r="H90" s="24" t="n"/>
      <c r="I90" s="24" t="n"/>
      <c r="J90" s="24" t="n"/>
      <c r="K90" s="24" t="n"/>
      <c r="L90" s="34" t="n"/>
      <c r="M90" s="24" t="n"/>
      <c r="N90" s="24" t="n"/>
      <c r="O90" s="35" t="n"/>
      <c r="P90" s="25" t="n"/>
      <c r="Q90" s="36">
        <f>IF(A90="","",IF(P90&lt;&gt;"",P90,IFERROR(IF(N(INDEX(Suppliers!$E$5:$E$24,MATCH(H90,Suppliers!$B$5:$B$24,0)))&gt;0,INDEX(Suppliers!$E$5:$E$24,MATCH(H90,Suppliers!$B$5:$B$24,0)),5),5)))</f>
        <v/>
      </c>
      <c r="R90" s="35" t="n"/>
      <c r="S90" s="37" t="n"/>
      <c r="T90" s="25" t="n"/>
      <c r="U90" s="37" t="n"/>
      <c r="V90" s="37" t="n"/>
      <c r="W90" s="36">
        <f>IF(A90="","",ROUNDUP(N(O90)*(Q90/7+Settings!$C$5),0))</f>
        <v/>
      </c>
      <c r="X90" s="25" t="n"/>
      <c r="Y90" s="25" t="n"/>
      <c r="Z90" s="32">
        <f>IF(A90="","",IF(Y90&lt;&gt;"",Y90,MAX(1,ROUNDUP(N(O90)*Settings!$C$7,0))))</f>
        <v/>
      </c>
      <c r="AA90" s="38">
        <f>IF(A90="","",MAX(N(S90),_xlfn.MAXIFS(Log!$A$2:$A$1001,Log!$B$2:$B$1001,A90,Log!$C$2:$C$1001,"Count")))</f>
        <v/>
      </c>
      <c r="AB90" s="39">
        <f>IF(A90="","",Z90*N(L90))</f>
        <v/>
      </c>
      <c r="AC90" s="40">
        <f>IF(A90="","",N(O90)*52*N(L90))</f>
        <v/>
      </c>
      <c r="AD90" s="39">
        <f>IF(A90="","",C90*N(L90))</f>
        <v/>
      </c>
      <c r="AE90" s="41">
        <f>IF(A90="",0,IF(AND(OR(B90="Order now",B90="Critical"),F90=0),1,0))</f>
        <v/>
      </c>
      <c r="AF90" s="41">
        <f>IF(AE90=1,IFERROR(MATCH(H90,Suppliers!$B$5:$B$24,0),99)*1000+ROW(),"")</f>
        <v/>
      </c>
      <c r="AG90" s="41">
        <f>IF(AF90="","",COUNTIF('Stock list'!$AF$2:$AF$301,"&lt;"&amp;AF90)+1)</f>
        <v/>
      </c>
      <c r="AH90" s="41">
        <f>IF(A90="",0,IF(OR(AA90=0,AND(B90="OK",OR(C90&lt;=D90+N(O90)*Settings!$C$6,Settings!$C$10-AA90&gt;Settings!$C$8*7))),1,0))</f>
        <v/>
      </c>
      <c r="AI90" s="41">
        <f>IF(AH90=0,"",IF(AA90=0,"Never counted",IF(C90&lt;=D90+N(O90)*Settings!$C$6,"Near the reorder point","Not counted for "&amp;INT((Settings!$C$10-AA90)/7)&amp;" weeks")))</f>
        <v/>
      </c>
      <c r="AJ90" s="41">
        <f>IF(AH90=1,IFERROR(MATCH(M90,Settings!$G$19:$G$38,0),99)*1000+ROW(),"")</f>
        <v/>
      </c>
      <c r="AK90" s="41">
        <f>IF(AJ90="","",COUNTIF('Stock list'!$AJ$2:$AJ$301,"&lt;"&amp;AJ90)+1)</f>
        <v/>
      </c>
      <c r="AL90" s="41">
        <f>IF(OR(A90="",N(AC90)=0),"",AC90+ROW()/1000000)</f>
        <v/>
      </c>
    </row>
    <row r="91">
      <c r="A91" s="24" t="n"/>
      <c r="B91" s="30">
        <f>IF(A91="","",IF(AA91=0,"No count",IF(AND(N(O91)&gt;0,C91/O91*7&lt;Q91),"Critical",IF(F91&gt;0,"On order",IF(AND(D91&gt;0,C91&lt;=D91),"Order now","OK")))))</f>
        <v/>
      </c>
      <c r="C91" s="31">
        <f>IF(A91="","",MAX(0,IF(_xlfn.MAXIFS(Log!$A$2:$A$1001,Log!$B$2:$B$1001,A91,Log!$C$2:$C$1001,"Count")&gt;N(S91),_xlfn.MAXIFS(Log!$D$2:$D$1001,Log!$B$2:$B$1001,A91,Log!$C$2:$C$1001,"Count",Log!$A$2:$A$1001,AA91),N(R91))+SUMIFS(Log!$D$2:$D$1001,Log!$B$2:$B$1001,A91,Log!$C$2:$C$1001,"Received",Log!$A$2:$A$1001,"&gt;"&amp;AA91)-SUMIFS(Log!$D$2:$D$1001,Log!$B$2:$B$1001,A91,Log!$C$2:$C$1001,"Used",Log!$A$2:$A$1001,"&gt;"&amp;AA91)+SUMIFS(Log!$D$2:$D$1001,Log!$B$2:$B$1001,A91,Log!$C$2:$C$1001,"Adjustment",Log!$A$2:$A$1001,"&gt;"&amp;AA91)))</f>
        <v/>
      </c>
      <c r="D91" s="32">
        <f>IF(A91="","",IF(X91&lt;&gt;"",X91,W91))</f>
        <v/>
      </c>
      <c r="E91" s="33">
        <f>IF(OR(A91="",N(O91)=0),"",C91/O91)</f>
        <v/>
      </c>
      <c r="F91" s="31">
        <f>IF(A91="","",MAX(0,N(T91)-SUMIFS(Log!$D$2:$D$1001,Log!$B$2:$B$1001,A91,Log!$C$2:$C$1001,"Received",Log!$A$2:$A$1001,"&gt;="&amp;N(U91))))</f>
        <v/>
      </c>
      <c r="G91" s="24" t="n"/>
      <c r="H91" s="24" t="n"/>
      <c r="I91" s="24" t="n"/>
      <c r="J91" s="24" t="n"/>
      <c r="K91" s="24" t="n"/>
      <c r="L91" s="34" t="n"/>
      <c r="M91" s="24" t="n"/>
      <c r="N91" s="24" t="n"/>
      <c r="O91" s="35" t="n"/>
      <c r="P91" s="25" t="n"/>
      <c r="Q91" s="36">
        <f>IF(A91="","",IF(P91&lt;&gt;"",P91,IFERROR(IF(N(INDEX(Suppliers!$E$5:$E$24,MATCH(H91,Suppliers!$B$5:$B$24,0)))&gt;0,INDEX(Suppliers!$E$5:$E$24,MATCH(H91,Suppliers!$B$5:$B$24,0)),5),5)))</f>
        <v/>
      </c>
      <c r="R91" s="35" t="n"/>
      <c r="S91" s="37" t="n"/>
      <c r="T91" s="25" t="n"/>
      <c r="U91" s="37" t="n"/>
      <c r="V91" s="37" t="n"/>
      <c r="W91" s="36">
        <f>IF(A91="","",ROUNDUP(N(O91)*(Q91/7+Settings!$C$5),0))</f>
        <v/>
      </c>
      <c r="X91" s="25" t="n"/>
      <c r="Y91" s="25" t="n"/>
      <c r="Z91" s="32">
        <f>IF(A91="","",IF(Y91&lt;&gt;"",Y91,MAX(1,ROUNDUP(N(O91)*Settings!$C$7,0))))</f>
        <v/>
      </c>
      <c r="AA91" s="38">
        <f>IF(A91="","",MAX(N(S91),_xlfn.MAXIFS(Log!$A$2:$A$1001,Log!$B$2:$B$1001,A91,Log!$C$2:$C$1001,"Count")))</f>
        <v/>
      </c>
      <c r="AB91" s="39">
        <f>IF(A91="","",Z91*N(L91))</f>
        <v/>
      </c>
      <c r="AC91" s="40">
        <f>IF(A91="","",N(O91)*52*N(L91))</f>
        <v/>
      </c>
      <c r="AD91" s="39">
        <f>IF(A91="","",C91*N(L91))</f>
        <v/>
      </c>
      <c r="AE91" s="41">
        <f>IF(A91="",0,IF(AND(OR(B91="Order now",B91="Critical"),F91=0),1,0))</f>
        <v/>
      </c>
      <c r="AF91" s="41">
        <f>IF(AE91=1,IFERROR(MATCH(H91,Suppliers!$B$5:$B$24,0),99)*1000+ROW(),"")</f>
        <v/>
      </c>
      <c r="AG91" s="41">
        <f>IF(AF91="","",COUNTIF('Stock list'!$AF$2:$AF$301,"&lt;"&amp;AF91)+1)</f>
        <v/>
      </c>
      <c r="AH91" s="41">
        <f>IF(A91="",0,IF(OR(AA91=0,AND(B91="OK",OR(C91&lt;=D91+N(O91)*Settings!$C$6,Settings!$C$10-AA91&gt;Settings!$C$8*7))),1,0))</f>
        <v/>
      </c>
      <c r="AI91" s="41">
        <f>IF(AH91=0,"",IF(AA91=0,"Never counted",IF(C91&lt;=D91+N(O91)*Settings!$C$6,"Near the reorder point","Not counted for "&amp;INT((Settings!$C$10-AA91)/7)&amp;" weeks")))</f>
        <v/>
      </c>
      <c r="AJ91" s="41">
        <f>IF(AH91=1,IFERROR(MATCH(M91,Settings!$G$19:$G$38,0),99)*1000+ROW(),"")</f>
        <v/>
      </c>
      <c r="AK91" s="41">
        <f>IF(AJ91="","",COUNTIF('Stock list'!$AJ$2:$AJ$301,"&lt;"&amp;AJ91)+1)</f>
        <v/>
      </c>
      <c r="AL91" s="41">
        <f>IF(OR(A91="",N(AC91)=0),"",AC91+ROW()/1000000)</f>
        <v/>
      </c>
    </row>
    <row r="92">
      <c r="A92" s="24" t="n"/>
      <c r="B92" s="30">
        <f>IF(A92="","",IF(AA92=0,"No count",IF(AND(N(O92)&gt;0,C92/O92*7&lt;Q92),"Critical",IF(F92&gt;0,"On order",IF(AND(D92&gt;0,C92&lt;=D92),"Order now","OK")))))</f>
        <v/>
      </c>
      <c r="C92" s="31">
        <f>IF(A92="","",MAX(0,IF(_xlfn.MAXIFS(Log!$A$2:$A$1001,Log!$B$2:$B$1001,A92,Log!$C$2:$C$1001,"Count")&gt;N(S92),_xlfn.MAXIFS(Log!$D$2:$D$1001,Log!$B$2:$B$1001,A92,Log!$C$2:$C$1001,"Count",Log!$A$2:$A$1001,AA92),N(R92))+SUMIFS(Log!$D$2:$D$1001,Log!$B$2:$B$1001,A92,Log!$C$2:$C$1001,"Received",Log!$A$2:$A$1001,"&gt;"&amp;AA92)-SUMIFS(Log!$D$2:$D$1001,Log!$B$2:$B$1001,A92,Log!$C$2:$C$1001,"Used",Log!$A$2:$A$1001,"&gt;"&amp;AA92)+SUMIFS(Log!$D$2:$D$1001,Log!$B$2:$B$1001,A92,Log!$C$2:$C$1001,"Adjustment",Log!$A$2:$A$1001,"&gt;"&amp;AA92)))</f>
        <v/>
      </c>
      <c r="D92" s="32">
        <f>IF(A92="","",IF(X92&lt;&gt;"",X92,W92))</f>
        <v/>
      </c>
      <c r="E92" s="33">
        <f>IF(OR(A92="",N(O92)=0),"",C92/O92)</f>
        <v/>
      </c>
      <c r="F92" s="31">
        <f>IF(A92="","",MAX(0,N(T92)-SUMIFS(Log!$D$2:$D$1001,Log!$B$2:$B$1001,A92,Log!$C$2:$C$1001,"Received",Log!$A$2:$A$1001,"&gt;="&amp;N(U92))))</f>
        <v/>
      </c>
      <c r="G92" s="24" t="n"/>
      <c r="H92" s="24" t="n"/>
      <c r="I92" s="24" t="n"/>
      <c r="J92" s="24" t="n"/>
      <c r="K92" s="24" t="n"/>
      <c r="L92" s="34" t="n"/>
      <c r="M92" s="24" t="n"/>
      <c r="N92" s="24" t="n"/>
      <c r="O92" s="35" t="n"/>
      <c r="P92" s="25" t="n"/>
      <c r="Q92" s="36">
        <f>IF(A92="","",IF(P92&lt;&gt;"",P92,IFERROR(IF(N(INDEX(Suppliers!$E$5:$E$24,MATCH(H92,Suppliers!$B$5:$B$24,0)))&gt;0,INDEX(Suppliers!$E$5:$E$24,MATCH(H92,Suppliers!$B$5:$B$24,0)),5),5)))</f>
        <v/>
      </c>
      <c r="R92" s="35" t="n"/>
      <c r="S92" s="37" t="n"/>
      <c r="T92" s="25" t="n"/>
      <c r="U92" s="37" t="n"/>
      <c r="V92" s="37" t="n"/>
      <c r="W92" s="36">
        <f>IF(A92="","",ROUNDUP(N(O92)*(Q92/7+Settings!$C$5),0))</f>
        <v/>
      </c>
      <c r="X92" s="25" t="n"/>
      <c r="Y92" s="25" t="n"/>
      <c r="Z92" s="32">
        <f>IF(A92="","",IF(Y92&lt;&gt;"",Y92,MAX(1,ROUNDUP(N(O92)*Settings!$C$7,0))))</f>
        <v/>
      </c>
      <c r="AA92" s="38">
        <f>IF(A92="","",MAX(N(S92),_xlfn.MAXIFS(Log!$A$2:$A$1001,Log!$B$2:$B$1001,A92,Log!$C$2:$C$1001,"Count")))</f>
        <v/>
      </c>
      <c r="AB92" s="39">
        <f>IF(A92="","",Z92*N(L92))</f>
        <v/>
      </c>
      <c r="AC92" s="40">
        <f>IF(A92="","",N(O92)*52*N(L92))</f>
        <v/>
      </c>
      <c r="AD92" s="39">
        <f>IF(A92="","",C92*N(L92))</f>
        <v/>
      </c>
      <c r="AE92" s="41">
        <f>IF(A92="",0,IF(AND(OR(B92="Order now",B92="Critical"),F92=0),1,0))</f>
        <v/>
      </c>
      <c r="AF92" s="41">
        <f>IF(AE92=1,IFERROR(MATCH(H92,Suppliers!$B$5:$B$24,0),99)*1000+ROW(),"")</f>
        <v/>
      </c>
      <c r="AG92" s="41">
        <f>IF(AF92="","",COUNTIF('Stock list'!$AF$2:$AF$301,"&lt;"&amp;AF92)+1)</f>
        <v/>
      </c>
      <c r="AH92" s="41">
        <f>IF(A92="",0,IF(OR(AA92=0,AND(B92="OK",OR(C92&lt;=D92+N(O92)*Settings!$C$6,Settings!$C$10-AA92&gt;Settings!$C$8*7))),1,0))</f>
        <v/>
      </c>
      <c r="AI92" s="41">
        <f>IF(AH92=0,"",IF(AA92=0,"Never counted",IF(C92&lt;=D92+N(O92)*Settings!$C$6,"Near the reorder point","Not counted for "&amp;INT((Settings!$C$10-AA92)/7)&amp;" weeks")))</f>
        <v/>
      </c>
      <c r="AJ92" s="41">
        <f>IF(AH92=1,IFERROR(MATCH(M92,Settings!$G$19:$G$38,0),99)*1000+ROW(),"")</f>
        <v/>
      </c>
      <c r="AK92" s="41">
        <f>IF(AJ92="","",COUNTIF('Stock list'!$AJ$2:$AJ$301,"&lt;"&amp;AJ92)+1)</f>
        <v/>
      </c>
      <c r="AL92" s="41">
        <f>IF(OR(A92="",N(AC92)=0),"",AC92+ROW()/1000000)</f>
        <v/>
      </c>
    </row>
    <row r="93">
      <c r="A93" s="24" t="n"/>
      <c r="B93" s="30">
        <f>IF(A93="","",IF(AA93=0,"No count",IF(AND(N(O93)&gt;0,C93/O93*7&lt;Q93),"Critical",IF(F93&gt;0,"On order",IF(AND(D93&gt;0,C93&lt;=D93),"Order now","OK")))))</f>
        <v/>
      </c>
      <c r="C93" s="31">
        <f>IF(A93="","",MAX(0,IF(_xlfn.MAXIFS(Log!$A$2:$A$1001,Log!$B$2:$B$1001,A93,Log!$C$2:$C$1001,"Count")&gt;N(S93),_xlfn.MAXIFS(Log!$D$2:$D$1001,Log!$B$2:$B$1001,A93,Log!$C$2:$C$1001,"Count",Log!$A$2:$A$1001,AA93),N(R93))+SUMIFS(Log!$D$2:$D$1001,Log!$B$2:$B$1001,A93,Log!$C$2:$C$1001,"Received",Log!$A$2:$A$1001,"&gt;"&amp;AA93)-SUMIFS(Log!$D$2:$D$1001,Log!$B$2:$B$1001,A93,Log!$C$2:$C$1001,"Used",Log!$A$2:$A$1001,"&gt;"&amp;AA93)+SUMIFS(Log!$D$2:$D$1001,Log!$B$2:$B$1001,A93,Log!$C$2:$C$1001,"Adjustment",Log!$A$2:$A$1001,"&gt;"&amp;AA93)))</f>
        <v/>
      </c>
      <c r="D93" s="32">
        <f>IF(A93="","",IF(X93&lt;&gt;"",X93,W93))</f>
        <v/>
      </c>
      <c r="E93" s="33">
        <f>IF(OR(A93="",N(O93)=0),"",C93/O93)</f>
        <v/>
      </c>
      <c r="F93" s="31">
        <f>IF(A93="","",MAX(0,N(T93)-SUMIFS(Log!$D$2:$D$1001,Log!$B$2:$B$1001,A93,Log!$C$2:$C$1001,"Received",Log!$A$2:$A$1001,"&gt;="&amp;N(U93))))</f>
        <v/>
      </c>
      <c r="G93" s="24" t="n"/>
      <c r="H93" s="24" t="n"/>
      <c r="I93" s="24" t="n"/>
      <c r="J93" s="24" t="n"/>
      <c r="K93" s="24" t="n"/>
      <c r="L93" s="34" t="n"/>
      <c r="M93" s="24" t="n"/>
      <c r="N93" s="24" t="n"/>
      <c r="O93" s="35" t="n"/>
      <c r="P93" s="25" t="n"/>
      <c r="Q93" s="36">
        <f>IF(A93="","",IF(P93&lt;&gt;"",P93,IFERROR(IF(N(INDEX(Suppliers!$E$5:$E$24,MATCH(H93,Suppliers!$B$5:$B$24,0)))&gt;0,INDEX(Suppliers!$E$5:$E$24,MATCH(H93,Suppliers!$B$5:$B$24,0)),5),5)))</f>
        <v/>
      </c>
      <c r="R93" s="35" t="n"/>
      <c r="S93" s="37" t="n"/>
      <c r="T93" s="25" t="n"/>
      <c r="U93" s="37" t="n"/>
      <c r="V93" s="37" t="n"/>
      <c r="W93" s="36">
        <f>IF(A93="","",ROUNDUP(N(O93)*(Q93/7+Settings!$C$5),0))</f>
        <v/>
      </c>
      <c r="X93" s="25" t="n"/>
      <c r="Y93" s="25" t="n"/>
      <c r="Z93" s="32">
        <f>IF(A93="","",IF(Y93&lt;&gt;"",Y93,MAX(1,ROUNDUP(N(O93)*Settings!$C$7,0))))</f>
        <v/>
      </c>
      <c r="AA93" s="38">
        <f>IF(A93="","",MAX(N(S93),_xlfn.MAXIFS(Log!$A$2:$A$1001,Log!$B$2:$B$1001,A93,Log!$C$2:$C$1001,"Count")))</f>
        <v/>
      </c>
      <c r="AB93" s="39">
        <f>IF(A93="","",Z93*N(L93))</f>
        <v/>
      </c>
      <c r="AC93" s="40">
        <f>IF(A93="","",N(O93)*52*N(L93))</f>
        <v/>
      </c>
      <c r="AD93" s="39">
        <f>IF(A93="","",C93*N(L93))</f>
        <v/>
      </c>
      <c r="AE93" s="41">
        <f>IF(A93="",0,IF(AND(OR(B93="Order now",B93="Critical"),F93=0),1,0))</f>
        <v/>
      </c>
      <c r="AF93" s="41">
        <f>IF(AE93=1,IFERROR(MATCH(H93,Suppliers!$B$5:$B$24,0),99)*1000+ROW(),"")</f>
        <v/>
      </c>
      <c r="AG93" s="41">
        <f>IF(AF93="","",COUNTIF('Stock list'!$AF$2:$AF$301,"&lt;"&amp;AF93)+1)</f>
        <v/>
      </c>
      <c r="AH93" s="41">
        <f>IF(A93="",0,IF(OR(AA93=0,AND(B93="OK",OR(C93&lt;=D93+N(O93)*Settings!$C$6,Settings!$C$10-AA93&gt;Settings!$C$8*7))),1,0))</f>
        <v/>
      </c>
      <c r="AI93" s="41">
        <f>IF(AH93=0,"",IF(AA93=0,"Never counted",IF(C93&lt;=D93+N(O93)*Settings!$C$6,"Near the reorder point","Not counted for "&amp;INT((Settings!$C$10-AA93)/7)&amp;" weeks")))</f>
        <v/>
      </c>
      <c r="AJ93" s="41">
        <f>IF(AH93=1,IFERROR(MATCH(M93,Settings!$G$19:$G$38,0),99)*1000+ROW(),"")</f>
        <v/>
      </c>
      <c r="AK93" s="41">
        <f>IF(AJ93="","",COUNTIF('Stock list'!$AJ$2:$AJ$301,"&lt;"&amp;AJ93)+1)</f>
        <v/>
      </c>
      <c r="AL93" s="41">
        <f>IF(OR(A93="",N(AC93)=0),"",AC93+ROW()/1000000)</f>
        <v/>
      </c>
    </row>
    <row r="94">
      <c r="A94" s="24" t="n"/>
      <c r="B94" s="30">
        <f>IF(A94="","",IF(AA94=0,"No count",IF(AND(N(O94)&gt;0,C94/O94*7&lt;Q94),"Critical",IF(F94&gt;0,"On order",IF(AND(D94&gt;0,C94&lt;=D94),"Order now","OK")))))</f>
        <v/>
      </c>
      <c r="C94" s="31">
        <f>IF(A94="","",MAX(0,IF(_xlfn.MAXIFS(Log!$A$2:$A$1001,Log!$B$2:$B$1001,A94,Log!$C$2:$C$1001,"Count")&gt;N(S94),_xlfn.MAXIFS(Log!$D$2:$D$1001,Log!$B$2:$B$1001,A94,Log!$C$2:$C$1001,"Count",Log!$A$2:$A$1001,AA94),N(R94))+SUMIFS(Log!$D$2:$D$1001,Log!$B$2:$B$1001,A94,Log!$C$2:$C$1001,"Received",Log!$A$2:$A$1001,"&gt;"&amp;AA94)-SUMIFS(Log!$D$2:$D$1001,Log!$B$2:$B$1001,A94,Log!$C$2:$C$1001,"Used",Log!$A$2:$A$1001,"&gt;"&amp;AA94)+SUMIFS(Log!$D$2:$D$1001,Log!$B$2:$B$1001,A94,Log!$C$2:$C$1001,"Adjustment",Log!$A$2:$A$1001,"&gt;"&amp;AA94)))</f>
        <v/>
      </c>
      <c r="D94" s="32">
        <f>IF(A94="","",IF(X94&lt;&gt;"",X94,W94))</f>
        <v/>
      </c>
      <c r="E94" s="33">
        <f>IF(OR(A94="",N(O94)=0),"",C94/O94)</f>
        <v/>
      </c>
      <c r="F94" s="31">
        <f>IF(A94="","",MAX(0,N(T94)-SUMIFS(Log!$D$2:$D$1001,Log!$B$2:$B$1001,A94,Log!$C$2:$C$1001,"Received",Log!$A$2:$A$1001,"&gt;="&amp;N(U94))))</f>
        <v/>
      </c>
      <c r="G94" s="24" t="n"/>
      <c r="H94" s="24" t="n"/>
      <c r="I94" s="24" t="n"/>
      <c r="J94" s="24" t="n"/>
      <c r="K94" s="24" t="n"/>
      <c r="L94" s="34" t="n"/>
      <c r="M94" s="24" t="n"/>
      <c r="N94" s="24" t="n"/>
      <c r="O94" s="35" t="n"/>
      <c r="P94" s="25" t="n"/>
      <c r="Q94" s="36">
        <f>IF(A94="","",IF(P94&lt;&gt;"",P94,IFERROR(IF(N(INDEX(Suppliers!$E$5:$E$24,MATCH(H94,Suppliers!$B$5:$B$24,0)))&gt;0,INDEX(Suppliers!$E$5:$E$24,MATCH(H94,Suppliers!$B$5:$B$24,0)),5),5)))</f>
        <v/>
      </c>
      <c r="R94" s="35" t="n"/>
      <c r="S94" s="37" t="n"/>
      <c r="T94" s="25" t="n"/>
      <c r="U94" s="37" t="n"/>
      <c r="V94" s="37" t="n"/>
      <c r="W94" s="36">
        <f>IF(A94="","",ROUNDUP(N(O94)*(Q94/7+Settings!$C$5),0))</f>
        <v/>
      </c>
      <c r="X94" s="25" t="n"/>
      <c r="Y94" s="25" t="n"/>
      <c r="Z94" s="32">
        <f>IF(A94="","",IF(Y94&lt;&gt;"",Y94,MAX(1,ROUNDUP(N(O94)*Settings!$C$7,0))))</f>
        <v/>
      </c>
      <c r="AA94" s="38">
        <f>IF(A94="","",MAX(N(S94),_xlfn.MAXIFS(Log!$A$2:$A$1001,Log!$B$2:$B$1001,A94,Log!$C$2:$C$1001,"Count")))</f>
        <v/>
      </c>
      <c r="AB94" s="39">
        <f>IF(A94="","",Z94*N(L94))</f>
        <v/>
      </c>
      <c r="AC94" s="40">
        <f>IF(A94="","",N(O94)*52*N(L94))</f>
        <v/>
      </c>
      <c r="AD94" s="39">
        <f>IF(A94="","",C94*N(L94))</f>
        <v/>
      </c>
      <c r="AE94" s="41">
        <f>IF(A94="",0,IF(AND(OR(B94="Order now",B94="Critical"),F94=0),1,0))</f>
        <v/>
      </c>
      <c r="AF94" s="41">
        <f>IF(AE94=1,IFERROR(MATCH(H94,Suppliers!$B$5:$B$24,0),99)*1000+ROW(),"")</f>
        <v/>
      </c>
      <c r="AG94" s="41">
        <f>IF(AF94="","",COUNTIF('Stock list'!$AF$2:$AF$301,"&lt;"&amp;AF94)+1)</f>
        <v/>
      </c>
      <c r="AH94" s="41">
        <f>IF(A94="",0,IF(OR(AA94=0,AND(B94="OK",OR(C94&lt;=D94+N(O94)*Settings!$C$6,Settings!$C$10-AA94&gt;Settings!$C$8*7))),1,0))</f>
        <v/>
      </c>
      <c r="AI94" s="41">
        <f>IF(AH94=0,"",IF(AA94=0,"Never counted",IF(C94&lt;=D94+N(O94)*Settings!$C$6,"Near the reorder point","Not counted for "&amp;INT((Settings!$C$10-AA94)/7)&amp;" weeks")))</f>
        <v/>
      </c>
      <c r="AJ94" s="41">
        <f>IF(AH94=1,IFERROR(MATCH(M94,Settings!$G$19:$G$38,0),99)*1000+ROW(),"")</f>
        <v/>
      </c>
      <c r="AK94" s="41">
        <f>IF(AJ94="","",COUNTIF('Stock list'!$AJ$2:$AJ$301,"&lt;"&amp;AJ94)+1)</f>
        <v/>
      </c>
      <c r="AL94" s="41">
        <f>IF(OR(A94="",N(AC94)=0),"",AC94+ROW()/1000000)</f>
        <v/>
      </c>
    </row>
    <row r="95">
      <c r="A95" s="24" t="n"/>
      <c r="B95" s="30">
        <f>IF(A95="","",IF(AA95=0,"No count",IF(AND(N(O95)&gt;0,C95/O95*7&lt;Q95),"Critical",IF(F95&gt;0,"On order",IF(AND(D95&gt;0,C95&lt;=D95),"Order now","OK")))))</f>
        <v/>
      </c>
      <c r="C95" s="31">
        <f>IF(A95="","",MAX(0,IF(_xlfn.MAXIFS(Log!$A$2:$A$1001,Log!$B$2:$B$1001,A95,Log!$C$2:$C$1001,"Count")&gt;N(S95),_xlfn.MAXIFS(Log!$D$2:$D$1001,Log!$B$2:$B$1001,A95,Log!$C$2:$C$1001,"Count",Log!$A$2:$A$1001,AA95),N(R95))+SUMIFS(Log!$D$2:$D$1001,Log!$B$2:$B$1001,A95,Log!$C$2:$C$1001,"Received",Log!$A$2:$A$1001,"&gt;"&amp;AA95)-SUMIFS(Log!$D$2:$D$1001,Log!$B$2:$B$1001,A95,Log!$C$2:$C$1001,"Used",Log!$A$2:$A$1001,"&gt;"&amp;AA95)+SUMIFS(Log!$D$2:$D$1001,Log!$B$2:$B$1001,A95,Log!$C$2:$C$1001,"Adjustment",Log!$A$2:$A$1001,"&gt;"&amp;AA95)))</f>
        <v/>
      </c>
      <c r="D95" s="32">
        <f>IF(A95="","",IF(X95&lt;&gt;"",X95,W95))</f>
        <v/>
      </c>
      <c r="E95" s="33">
        <f>IF(OR(A95="",N(O95)=0),"",C95/O95)</f>
        <v/>
      </c>
      <c r="F95" s="31">
        <f>IF(A95="","",MAX(0,N(T95)-SUMIFS(Log!$D$2:$D$1001,Log!$B$2:$B$1001,A95,Log!$C$2:$C$1001,"Received",Log!$A$2:$A$1001,"&gt;="&amp;N(U95))))</f>
        <v/>
      </c>
      <c r="G95" s="24" t="n"/>
      <c r="H95" s="24" t="n"/>
      <c r="I95" s="24" t="n"/>
      <c r="J95" s="24" t="n"/>
      <c r="K95" s="24" t="n"/>
      <c r="L95" s="34" t="n"/>
      <c r="M95" s="24" t="n"/>
      <c r="N95" s="24" t="n"/>
      <c r="O95" s="35" t="n"/>
      <c r="P95" s="25" t="n"/>
      <c r="Q95" s="36">
        <f>IF(A95="","",IF(P95&lt;&gt;"",P95,IFERROR(IF(N(INDEX(Suppliers!$E$5:$E$24,MATCH(H95,Suppliers!$B$5:$B$24,0)))&gt;0,INDEX(Suppliers!$E$5:$E$24,MATCH(H95,Suppliers!$B$5:$B$24,0)),5),5)))</f>
        <v/>
      </c>
      <c r="R95" s="35" t="n"/>
      <c r="S95" s="37" t="n"/>
      <c r="T95" s="25" t="n"/>
      <c r="U95" s="37" t="n"/>
      <c r="V95" s="37" t="n"/>
      <c r="W95" s="36">
        <f>IF(A95="","",ROUNDUP(N(O95)*(Q95/7+Settings!$C$5),0))</f>
        <v/>
      </c>
      <c r="X95" s="25" t="n"/>
      <c r="Y95" s="25" t="n"/>
      <c r="Z95" s="32">
        <f>IF(A95="","",IF(Y95&lt;&gt;"",Y95,MAX(1,ROUNDUP(N(O95)*Settings!$C$7,0))))</f>
        <v/>
      </c>
      <c r="AA95" s="38">
        <f>IF(A95="","",MAX(N(S95),_xlfn.MAXIFS(Log!$A$2:$A$1001,Log!$B$2:$B$1001,A95,Log!$C$2:$C$1001,"Count")))</f>
        <v/>
      </c>
      <c r="AB95" s="39">
        <f>IF(A95="","",Z95*N(L95))</f>
        <v/>
      </c>
      <c r="AC95" s="40">
        <f>IF(A95="","",N(O95)*52*N(L95))</f>
        <v/>
      </c>
      <c r="AD95" s="39">
        <f>IF(A95="","",C95*N(L95))</f>
        <v/>
      </c>
      <c r="AE95" s="41">
        <f>IF(A95="",0,IF(AND(OR(B95="Order now",B95="Critical"),F95=0),1,0))</f>
        <v/>
      </c>
      <c r="AF95" s="41">
        <f>IF(AE95=1,IFERROR(MATCH(H95,Suppliers!$B$5:$B$24,0),99)*1000+ROW(),"")</f>
        <v/>
      </c>
      <c r="AG95" s="41">
        <f>IF(AF95="","",COUNTIF('Stock list'!$AF$2:$AF$301,"&lt;"&amp;AF95)+1)</f>
        <v/>
      </c>
      <c r="AH95" s="41">
        <f>IF(A95="",0,IF(OR(AA95=0,AND(B95="OK",OR(C95&lt;=D95+N(O95)*Settings!$C$6,Settings!$C$10-AA95&gt;Settings!$C$8*7))),1,0))</f>
        <v/>
      </c>
      <c r="AI95" s="41">
        <f>IF(AH95=0,"",IF(AA95=0,"Never counted",IF(C95&lt;=D95+N(O95)*Settings!$C$6,"Near the reorder point","Not counted for "&amp;INT((Settings!$C$10-AA95)/7)&amp;" weeks")))</f>
        <v/>
      </c>
      <c r="AJ95" s="41">
        <f>IF(AH95=1,IFERROR(MATCH(M95,Settings!$G$19:$G$38,0),99)*1000+ROW(),"")</f>
        <v/>
      </c>
      <c r="AK95" s="41">
        <f>IF(AJ95="","",COUNTIF('Stock list'!$AJ$2:$AJ$301,"&lt;"&amp;AJ95)+1)</f>
        <v/>
      </c>
      <c r="AL95" s="41">
        <f>IF(OR(A95="",N(AC95)=0),"",AC95+ROW()/1000000)</f>
        <v/>
      </c>
    </row>
    <row r="96">
      <c r="A96" s="24" t="n"/>
      <c r="B96" s="30">
        <f>IF(A96="","",IF(AA96=0,"No count",IF(AND(N(O96)&gt;0,C96/O96*7&lt;Q96),"Critical",IF(F96&gt;0,"On order",IF(AND(D96&gt;0,C96&lt;=D96),"Order now","OK")))))</f>
        <v/>
      </c>
      <c r="C96" s="31">
        <f>IF(A96="","",MAX(0,IF(_xlfn.MAXIFS(Log!$A$2:$A$1001,Log!$B$2:$B$1001,A96,Log!$C$2:$C$1001,"Count")&gt;N(S96),_xlfn.MAXIFS(Log!$D$2:$D$1001,Log!$B$2:$B$1001,A96,Log!$C$2:$C$1001,"Count",Log!$A$2:$A$1001,AA96),N(R96))+SUMIFS(Log!$D$2:$D$1001,Log!$B$2:$B$1001,A96,Log!$C$2:$C$1001,"Received",Log!$A$2:$A$1001,"&gt;"&amp;AA96)-SUMIFS(Log!$D$2:$D$1001,Log!$B$2:$B$1001,A96,Log!$C$2:$C$1001,"Used",Log!$A$2:$A$1001,"&gt;"&amp;AA96)+SUMIFS(Log!$D$2:$D$1001,Log!$B$2:$B$1001,A96,Log!$C$2:$C$1001,"Adjustment",Log!$A$2:$A$1001,"&gt;"&amp;AA96)))</f>
        <v/>
      </c>
      <c r="D96" s="32">
        <f>IF(A96="","",IF(X96&lt;&gt;"",X96,W96))</f>
        <v/>
      </c>
      <c r="E96" s="33">
        <f>IF(OR(A96="",N(O96)=0),"",C96/O96)</f>
        <v/>
      </c>
      <c r="F96" s="31">
        <f>IF(A96="","",MAX(0,N(T96)-SUMIFS(Log!$D$2:$D$1001,Log!$B$2:$B$1001,A96,Log!$C$2:$C$1001,"Received",Log!$A$2:$A$1001,"&gt;="&amp;N(U96))))</f>
        <v/>
      </c>
      <c r="G96" s="24" t="n"/>
      <c r="H96" s="24" t="n"/>
      <c r="I96" s="24" t="n"/>
      <c r="J96" s="24" t="n"/>
      <c r="K96" s="24" t="n"/>
      <c r="L96" s="34" t="n"/>
      <c r="M96" s="24" t="n"/>
      <c r="N96" s="24" t="n"/>
      <c r="O96" s="35" t="n"/>
      <c r="P96" s="25" t="n"/>
      <c r="Q96" s="36">
        <f>IF(A96="","",IF(P96&lt;&gt;"",P96,IFERROR(IF(N(INDEX(Suppliers!$E$5:$E$24,MATCH(H96,Suppliers!$B$5:$B$24,0)))&gt;0,INDEX(Suppliers!$E$5:$E$24,MATCH(H96,Suppliers!$B$5:$B$24,0)),5),5)))</f>
        <v/>
      </c>
      <c r="R96" s="35" t="n"/>
      <c r="S96" s="37" t="n"/>
      <c r="T96" s="25" t="n"/>
      <c r="U96" s="37" t="n"/>
      <c r="V96" s="37" t="n"/>
      <c r="W96" s="36">
        <f>IF(A96="","",ROUNDUP(N(O96)*(Q96/7+Settings!$C$5),0))</f>
        <v/>
      </c>
      <c r="X96" s="25" t="n"/>
      <c r="Y96" s="25" t="n"/>
      <c r="Z96" s="32">
        <f>IF(A96="","",IF(Y96&lt;&gt;"",Y96,MAX(1,ROUNDUP(N(O96)*Settings!$C$7,0))))</f>
        <v/>
      </c>
      <c r="AA96" s="38">
        <f>IF(A96="","",MAX(N(S96),_xlfn.MAXIFS(Log!$A$2:$A$1001,Log!$B$2:$B$1001,A96,Log!$C$2:$C$1001,"Count")))</f>
        <v/>
      </c>
      <c r="AB96" s="39">
        <f>IF(A96="","",Z96*N(L96))</f>
        <v/>
      </c>
      <c r="AC96" s="40">
        <f>IF(A96="","",N(O96)*52*N(L96))</f>
        <v/>
      </c>
      <c r="AD96" s="39">
        <f>IF(A96="","",C96*N(L96))</f>
        <v/>
      </c>
      <c r="AE96" s="41">
        <f>IF(A96="",0,IF(AND(OR(B96="Order now",B96="Critical"),F96=0),1,0))</f>
        <v/>
      </c>
      <c r="AF96" s="41">
        <f>IF(AE96=1,IFERROR(MATCH(H96,Suppliers!$B$5:$B$24,0),99)*1000+ROW(),"")</f>
        <v/>
      </c>
      <c r="AG96" s="41">
        <f>IF(AF96="","",COUNTIF('Stock list'!$AF$2:$AF$301,"&lt;"&amp;AF96)+1)</f>
        <v/>
      </c>
      <c r="AH96" s="41">
        <f>IF(A96="",0,IF(OR(AA96=0,AND(B96="OK",OR(C96&lt;=D96+N(O96)*Settings!$C$6,Settings!$C$10-AA96&gt;Settings!$C$8*7))),1,0))</f>
        <v/>
      </c>
      <c r="AI96" s="41">
        <f>IF(AH96=0,"",IF(AA96=0,"Never counted",IF(C96&lt;=D96+N(O96)*Settings!$C$6,"Near the reorder point","Not counted for "&amp;INT((Settings!$C$10-AA96)/7)&amp;" weeks")))</f>
        <v/>
      </c>
      <c r="AJ96" s="41">
        <f>IF(AH96=1,IFERROR(MATCH(M96,Settings!$G$19:$G$38,0),99)*1000+ROW(),"")</f>
        <v/>
      </c>
      <c r="AK96" s="41">
        <f>IF(AJ96="","",COUNTIF('Stock list'!$AJ$2:$AJ$301,"&lt;"&amp;AJ96)+1)</f>
        <v/>
      </c>
      <c r="AL96" s="41">
        <f>IF(OR(A96="",N(AC96)=0),"",AC96+ROW()/1000000)</f>
        <v/>
      </c>
    </row>
    <row r="97">
      <c r="A97" s="24" t="n"/>
      <c r="B97" s="30">
        <f>IF(A97="","",IF(AA97=0,"No count",IF(AND(N(O97)&gt;0,C97/O97*7&lt;Q97),"Critical",IF(F97&gt;0,"On order",IF(AND(D97&gt;0,C97&lt;=D97),"Order now","OK")))))</f>
        <v/>
      </c>
      <c r="C97" s="31">
        <f>IF(A97="","",MAX(0,IF(_xlfn.MAXIFS(Log!$A$2:$A$1001,Log!$B$2:$B$1001,A97,Log!$C$2:$C$1001,"Count")&gt;N(S97),_xlfn.MAXIFS(Log!$D$2:$D$1001,Log!$B$2:$B$1001,A97,Log!$C$2:$C$1001,"Count",Log!$A$2:$A$1001,AA97),N(R97))+SUMIFS(Log!$D$2:$D$1001,Log!$B$2:$B$1001,A97,Log!$C$2:$C$1001,"Received",Log!$A$2:$A$1001,"&gt;"&amp;AA97)-SUMIFS(Log!$D$2:$D$1001,Log!$B$2:$B$1001,A97,Log!$C$2:$C$1001,"Used",Log!$A$2:$A$1001,"&gt;"&amp;AA97)+SUMIFS(Log!$D$2:$D$1001,Log!$B$2:$B$1001,A97,Log!$C$2:$C$1001,"Adjustment",Log!$A$2:$A$1001,"&gt;"&amp;AA97)))</f>
        <v/>
      </c>
      <c r="D97" s="32">
        <f>IF(A97="","",IF(X97&lt;&gt;"",X97,W97))</f>
        <v/>
      </c>
      <c r="E97" s="33">
        <f>IF(OR(A97="",N(O97)=0),"",C97/O97)</f>
        <v/>
      </c>
      <c r="F97" s="31">
        <f>IF(A97="","",MAX(0,N(T97)-SUMIFS(Log!$D$2:$D$1001,Log!$B$2:$B$1001,A97,Log!$C$2:$C$1001,"Received",Log!$A$2:$A$1001,"&gt;="&amp;N(U97))))</f>
        <v/>
      </c>
      <c r="G97" s="24" t="n"/>
      <c r="H97" s="24" t="n"/>
      <c r="I97" s="24" t="n"/>
      <c r="J97" s="24" t="n"/>
      <c r="K97" s="24" t="n"/>
      <c r="L97" s="34" t="n"/>
      <c r="M97" s="24" t="n"/>
      <c r="N97" s="24" t="n"/>
      <c r="O97" s="35" t="n"/>
      <c r="P97" s="25" t="n"/>
      <c r="Q97" s="36">
        <f>IF(A97="","",IF(P97&lt;&gt;"",P97,IFERROR(IF(N(INDEX(Suppliers!$E$5:$E$24,MATCH(H97,Suppliers!$B$5:$B$24,0)))&gt;0,INDEX(Suppliers!$E$5:$E$24,MATCH(H97,Suppliers!$B$5:$B$24,0)),5),5)))</f>
        <v/>
      </c>
      <c r="R97" s="35" t="n"/>
      <c r="S97" s="37" t="n"/>
      <c r="T97" s="25" t="n"/>
      <c r="U97" s="37" t="n"/>
      <c r="V97" s="37" t="n"/>
      <c r="W97" s="36">
        <f>IF(A97="","",ROUNDUP(N(O97)*(Q97/7+Settings!$C$5),0))</f>
        <v/>
      </c>
      <c r="X97" s="25" t="n"/>
      <c r="Y97" s="25" t="n"/>
      <c r="Z97" s="32">
        <f>IF(A97="","",IF(Y97&lt;&gt;"",Y97,MAX(1,ROUNDUP(N(O97)*Settings!$C$7,0))))</f>
        <v/>
      </c>
      <c r="AA97" s="38">
        <f>IF(A97="","",MAX(N(S97),_xlfn.MAXIFS(Log!$A$2:$A$1001,Log!$B$2:$B$1001,A97,Log!$C$2:$C$1001,"Count")))</f>
        <v/>
      </c>
      <c r="AB97" s="39">
        <f>IF(A97="","",Z97*N(L97))</f>
        <v/>
      </c>
      <c r="AC97" s="40">
        <f>IF(A97="","",N(O97)*52*N(L97))</f>
        <v/>
      </c>
      <c r="AD97" s="39">
        <f>IF(A97="","",C97*N(L97))</f>
        <v/>
      </c>
      <c r="AE97" s="41">
        <f>IF(A97="",0,IF(AND(OR(B97="Order now",B97="Critical"),F97=0),1,0))</f>
        <v/>
      </c>
      <c r="AF97" s="41">
        <f>IF(AE97=1,IFERROR(MATCH(H97,Suppliers!$B$5:$B$24,0),99)*1000+ROW(),"")</f>
        <v/>
      </c>
      <c r="AG97" s="41">
        <f>IF(AF97="","",COUNTIF('Stock list'!$AF$2:$AF$301,"&lt;"&amp;AF97)+1)</f>
        <v/>
      </c>
      <c r="AH97" s="41">
        <f>IF(A97="",0,IF(OR(AA97=0,AND(B97="OK",OR(C97&lt;=D97+N(O97)*Settings!$C$6,Settings!$C$10-AA97&gt;Settings!$C$8*7))),1,0))</f>
        <v/>
      </c>
      <c r="AI97" s="41">
        <f>IF(AH97=0,"",IF(AA97=0,"Never counted",IF(C97&lt;=D97+N(O97)*Settings!$C$6,"Near the reorder point","Not counted for "&amp;INT((Settings!$C$10-AA97)/7)&amp;" weeks")))</f>
        <v/>
      </c>
      <c r="AJ97" s="41">
        <f>IF(AH97=1,IFERROR(MATCH(M97,Settings!$G$19:$G$38,0),99)*1000+ROW(),"")</f>
        <v/>
      </c>
      <c r="AK97" s="41">
        <f>IF(AJ97="","",COUNTIF('Stock list'!$AJ$2:$AJ$301,"&lt;"&amp;AJ97)+1)</f>
        <v/>
      </c>
      <c r="AL97" s="41">
        <f>IF(OR(A97="",N(AC97)=0),"",AC97+ROW()/1000000)</f>
        <v/>
      </c>
    </row>
    <row r="98">
      <c r="A98" s="24" t="n"/>
      <c r="B98" s="30">
        <f>IF(A98="","",IF(AA98=0,"No count",IF(AND(N(O98)&gt;0,C98/O98*7&lt;Q98),"Critical",IF(F98&gt;0,"On order",IF(AND(D98&gt;0,C98&lt;=D98),"Order now","OK")))))</f>
        <v/>
      </c>
      <c r="C98" s="31">
        <f>IF(A98="","",MAX(0,IF(_xlfn.MAXIFS(Log!$A$2:$A$1001,Log!$B$2:$B$1001,A98,Log!$C$2:$C$1001,"Count")&gt;N(S98),_xlfn.MAXIFS(Log!$D$2:$D$1001,Log!$B$2:$B$1001,A98,Log!$C$2:$C$1001,"Count",Log!$A$2:$A$1001,AA98),N(R98))+SUMIFS(Log!$D$2:$D$1001,Log!$B$2:$B$1001,A98,Log!$C$2:$C$1001,"Received",Log!$A$2:$A$1001,"&gt;"&amp;AA98)-SUMIFS(Log!$D$2:$D$1001,Log!$B$2:$B$1001,A98,Log!$C$2:$C$1001,"Used",Log!$A$2:$A$1001,"&gt;"&amp;AA98)+SUMIFS(Log!$D$2:$D$1001,Log!$B$2:$B$1001,A98,Log!$C$2:$C$1001,"Adjustment",Log!$A$2:$A$1001,"&gt;"&amp;AA98)))</f>
        <v/>
      </c>
      <c r="D98" s="32">
        <f>IF(A98="","",IF(X98&lt;&gt;"",X98,W98))</f>
        <v/>
      </c>
      <c r="E98" s="33">
        <f>IF(OR(A98="",N(O98)=0),"",C98/O98)</f>
        <v/>
      </c>
      <c r="F98" s="31">
        <f>IF(A98="","",MAX(0,N(T98)-SUMIFS(Log!$D$2:$D$1001,Log!$B$2:$B$1001,A98,Log!$C$2:$C$1001,"Received",Log!$A$2:$A$1001,"&gt;="&amp;N(U98))))</f>
        <v/>
      </c>
      <c r="G98" s="24" t="n"/>
      <c r="H98" s="24" t="n"/>
      <c r="I98" s="24" t="n"/>
      <c r="J98" s="24" t="n"/>
      <c r="K98" s="24" t="n"/>
      <c r="L98" s="34" t="n"/>
      <c r="M98" s="24" t="n"/>
      <c r="N98" s="24" t="n"/>
      <c r="O98" s="35" t="n"/>
      <c r="P98" s="25" t="n"/>
      <c r="Q98" s="36">
        <f>IF(A98="","",IF(P98&lt;&gt;"",P98,IFERROR(IF(N(INDEX(Suppliers!$E$5:$E$24,MATCH(H98,Suppliers!$B$5:$B$24,0)))&gt;0,INDEX(Suppliers!$E$5:$E$24,MATCH(H98,Suppliers!$B$5:$B$24,0)),5),5)))</f>
        <v/>
      </c>
      <c r="R98" s="35" t="n"/>
      <c r="S98" s="37" t="n"/>
      <c r="T98" s="25" t="n"/>
      <c r="U98" s="37" t="n"/>
      <c r="V98" s="37" t="n"/>
      <c r="W98" s="36">
        <f>IF(A98="","",ROUNDUP(N(O98)*(Q98/7+Settings!$C$5),0))</f>
        <v/>
      </c>
      <c r="X98" s="25" t="n"/>
      <c r="Y98" s="25" t="n"/>
      <c r="Z98" s="32">
        <f>IF(A98="","",IF(Y98&lt;&gt;"",Y98,MAX(1,ROUNDUP(N(O98)*Settings!$C$7,0))))</f>
        <v/>
      </c>
      <c r="AA98" s="38">
        <f>IF(A98="","",MAX(N(S98),_xlfn.MAXIFS(Log!$A$2:$A$1001,Log!$B$2:$B$1001,A98,Log!$C$2:$C$1001,"Count")))</f>
        <v/>
      </c>
      <c r="AB98" s="39">
        <f>IF(A98="","",Z98*N(L98))</f>
        <v/>
      </c>
      <c r="AC98" s="40">
        <f>IF(A98="","",N(O98)*52*N(L98))</f>
        <v/>
      </c>
      <c r="AD98" s="39">
        <f>IF(A98="","",C98*N(L98))</f>
        <v/>
      </c>
      <c r="AE98" s="41">
        <f>IF(A98="",0,IF(AND(OR(B98="Order now",B98="Critical"),F98=0),1,0))</f>
        <v/>
      </c>
      <c r="AF98" s="41">
        <f>IF(AE98=1,IFERROR(MATCH(H98,Suppliers!$B$5:$B$24,0),99)*1000+ROW(),"")</f>
        <v/>
      </c>
      <c r="AG98" s="41">
        <f>IF(AF98="","",COUNTIF('Stock list'!$AF$2:$AF$301,"&lt;"&amp;AF98)+1)</f>
        <v/>
      </c>
      <c r="AH98" s="41">
        <f>IF(A98="",0,IF(OR(AA98=0,AND(B98="OK",OR(C98&lt;=D98+N(O98)*Settings!$C$6,Settings!$C$10-AA98&gt;Settings!$C$8*7))),1,0))</f>
        <v/>
      </c>
      <c r="AI98" s="41">
        <f>IF(AH98=0,"",IF(AA98=0,"Never counted",IF(C98&lt;=D98+N(O98)*Settings!$C$6,"Near the reorder point","Not counted for "&amp;INT((Settings!$C$10-AA98)/7)&amp;" weeks")))</f>
        <v/>
      </c>
      <c r="AJ98" s="41">
        <f>IF(AH98=1,IFERROR(MATCH(M98,Settings!$G$19:$G$38,0),99)*1000+ROW(),"")</f>
        <v/>
      </c>
      <c r="AK98" s="41">
        <f>IF(AJ98="","",COUNTIF('Stock list'!$AJ$2:$AJ$301,"&lt;"&amp;AJ98)+1)</f>
        <v/>
      </c>
      <c r="AL98" s="41">
        <f>IF(OR(A98="",N(AC98)=0),"",AC98+ROW()/1000000)</f>
        <v/>
      </c>
    </row>
    <row r="99">
      <c r="A99" s="24" t="n"/>
      <c r="B99" s="30">
        <f>IF(A99="","",IF(AA99=0,"No count",IF(AND(N(O99)&gt;0,C99/O99*7&lt;Q99),"Critical",IF(F99&gt;0,"On order",IF(AND(D99&gt;0,C99&lt;=D99),"Order now","OK")))))</f>
        <v/>
      </c>
      <c r="C99" s="31">
        <f>IF(A99="","",MAX(0,IF(_xlfn.MAXIFS(Log!$A$2:$A$1001,Log!$B$2:$B$1001,A99,Log!$C$2:$C$1001,"Count")&gt;N(S99),_xlfn.MAXIFS(Log!$D$2:$D$1001,Log!$B$2:$B$1001,A99,Log!$C$2:$C$1001,"Count",Log!$A$2:$A$1001,AA99),N(R99))+SUMIFS(Log!$D$2:$D$1001,Log!$B$2:$B$1001,A99,Log!$C$2:$C$1001,"Received",Log!$A$2:$A$1001,"&gt;"&amp;AA99)-SUMIFS(Log!$D$2:$D$1001,Log!$B$2:$B$1001,A99,Log!$C$2:$C$1001,"Used",Log!$A$2:$A$1001,"&gt;"&amp;AA99)+SUMIFS(Log!$D$2:$D$1001,Log!$B$2:$B$1001,A99,Log!$C$2:$C$1001,"Adjustment",Log!$A$2:$A$1001,"&gt;"&amp;AA99)))</f>
        <v/>
      </c>
      <c r="D99" s="32">
        <f>IF(A99="","",IF(X99&lt;&gt;"",X99,W99))</f>
        <v/>
      </c>
      <c r="E99" s="33">
        <f>IF(OR(A99="",N(O99)=0),"",C99/O99)</f>
        <v/>
      </c>
      <c r="F99" s="31">
        <f>IF(A99="","",MAX(0,N(T99)-SUMIFS(Log!$D$2:$D$1001,Log!$B$2:$B$1001,A99,Log!$C$2:$C$1001,"Received",Log!$A$2:$A$1001,"&gt;="&amp;N(U99))))</f>
        <v/>
      </c>
      <c r="G99" s="24" t="n"/>
      <c r="H99" s="24" t="n"/>
      <c r="I99" s="24" t="n"/>
      <c r="J99" s="24" t="n"/>
      <c r="K99" s="24" t="n"/>
      <c r="L99" s="34" t="n"/>
      <c r="M99" s="24" t="n"/>
      <c r="N99" s="24" t="n"/>
      <c r="O99" s="35" t="n"/>
      <c r="P99" s="25" t="n"/>
      <c r="Q99" s="36">
        <f>IF(A99="","",IF(P99&lt;&gt;"",P99,IFERROR(IF(N(INDEX(Suppliers!$E$5:$E$24,MATCH(H99,Suppliers!$B$5:$B$24,0)))&gt;0,INDEX(Suppliers!$E$5:$E$24,MATCH(H99,Suppliers!$B$5:$B$24,0)),5),5)))</f>
        <v/>
      </c>
      <c r="R99" s="35" t="n"/>
      <c r="S99" s="37" t="n"/>
      <c r="T99" s="25" t="n"/>
      <c r="U99" s="37" t="n"/>
      <c r="V99" s="37" t="n"/>
      <c r="W99" s="36">
        <f>IF(A99="","",ROUNDUP(N(O99)*(Q99/7+Settings!$C$5),0))</f>
        <v/>
      </c>
      <c r="X99" s="25" t="n"/>
      <c r="Y99" s="25" t="n"/>
      <c r="Z99" s="32">
        <f>IF(A99="","",IF(Y99&lt;&gt;"",Y99,MAX(1,ROUNDUP(N(O99)*Settings!$C$7,0))))</f>
        <v/>
      </c>
      <c r="AA99" s="38">
        <f>IF(A99="","",MAX(N(S99),_xlfn.MAXIFS(Log!$A$2:$A$1001,Log!$B$2:$B$1001,A99,Log!$C$2:$C$1001,"Count")))</f>
        <v/>
      </c>
      <c r="AB99" s="39">
        <f>IF(A99="","",Z99*N(L99))</f>
        <v/>
      </c>
      <c r="AC99" s="40">
        <f>IF(A99="","",N(O99)*52*N(L99))</f>
        <v/>
      </c>
      <c r="AD99" s="39">
        <f>IF(A99="","",C99*N(L99))</f>
        <v/>
      </c>
      <c r="AE99" s="41">
        <f>IF(A99="",0,IF(AND(OR(B99="Order now",B99="Critical"),F99=0),1,0))</f>
        <v/>
      </c>
      <c r="AF99" s="41">
        <f>IF(AE99=1,IFERROR(MATCH(H99,Suppliers!$B$5:$B$24,0),99)*1000+ROW(),"")</f>
        <v/>
      </c>
      <c r="AG99" s="41">
        <f>IF(AF99="","",COUNTIF('Stock list'!$AF$2:$AF$301,"&lt;"&amp;AF99)+1)</f>
        <v/>
      </c>
      <c r="AH99" s="41">
        <f>IF(A99="",0,IF(OR(AA99=0,AND(B99="OK",OR(C99&lt;=D99+N(O99)*Settings!$C$6,Settings!$C$10-AA99&gt;Settings!$C$8*7))),1,0))</f>
        <v/>
      </c>
      <c r="AI99" s="41">
        <f>IF(AH99=0,"",IF(AA99=0,"Never counted",IF(C99&lt;=D99+N(O99)*Settings!$C$6,"Near the reorder point","Not counted for "&amp;INT((Settings!$C$10-AA99)/7)&amp;" weeks")))</f>
        <v/>
      </c>
      <c r="AJ99" s="41">
        <f>IF(AH99=1,IFERROR(MATCH(M99,Settings!$G$19:$G$38,0),99)*1000+ROW(),"")</f>
        <v/>
      </c>
      <c r="AK99" s="41">
        <f>IF(AJ99="","",COUNTIF('Stock list'!$AJ$2:$AJ$301,"&lt;"&amp;AJ99)+1)</f>
        <v/>
      </c>
      <c r="AL99" s="41">
        <f>IF(OR(A99="",N(AC99)=0),"",AC99+ROW()/1000000)</f>
        <v/>
      </c>
    </row>
    <row r="100">
      <c r="A100" s="24" t="n"/>
      <c r="B100" s="30">
        <f>IF(A100="","",IF(AA100=0,"No count",IF(AND(N(O100)&gt;0,C100/O100*7&lt;Q100),"Critical",IF(F100&gt;0,"On order",IF(AND(D100&gt;0,C100&lt;=D100),"Order now","OK")))))</f>
        <v/>
      </c>
      <c r="C100" s="31">
        <f>IF(A100="","",MAX(0,IF(_xlfn.MAXIFS(Log!$A$2:$A$1001,Log!$B$2:$B$1001,A100,Log!$C$2:$C$1001,"Count")&gt;N(S100),_xlfn.MAXIFS(Log!$D$2:$D$1001,Log!$B$2:$B$1001,A100,Log!$C$2:$C$1001,"Count",Log!$A$2:$A$1001,AA100),N(R100))+SUMIFS(Log!$D$2:$D$1001,Log!$B$2:$B$1001,A100,Log!$C$2:$C$1001,"Received",Log!$A$2:$A$1001,"&gt;"&amp;AA100)-SUMIFS(Log!$D$2:$D$1001,Log!$B$2:$B$1001,A100,Log!$C$2:$C$1001,"Used",Log!$A$2:$A$1001,"&gt;"&amp;AA100)+SUMIFS(Log!$D$2:$D$1001,Log!$B$2:$B$1001,A100,Log!$C$2:$C$1001,"Adjustment",Log!$A$2:$A$1001,"&gt;"&amp;AA100)))</f>
        <v/>
      </c>
      <c r="D100" s="32">
        <f>IF(A100="","",IF(X100&lt;&gt;"",X100,W100))</f>
        <v/>
      </c>
      <c r="E100" s="33">
        <f>IF(OR(A100="",N(O100)=0),"",C100/O100)</f>
        <v/>
      </c>
      <c r="F100" s="31">
        <f>IF(A100="","",MAX(0,N(T100)-SUMIFS(Log!$D$2:$D$1001,Log!$B$2:$B$1001,A100,Log!$C$2:$C$1001,"Received",Log!$A$2:$A$1001,"&gt;="&amp;N(U100))))</f>
        <v/>
      </c>
      <c r="G100" s="24" t="n"/>
      <c r="H100" s="24" t="n"/>
      <c r="I100" s="24" t="n"/>
      <c r="J100" s="24" t="n"/>
      <c r="K100" s="24" t="n"/>
      <c r="L100" s="34" t="n"/>
      <c r="M100" s="24" t="n"/>
      <c r="N100" s="24" t="n"/>
      <c r="O100" s="35" t="n"/>
      <c r="P100" s="25" t="n"/>
      <c r="Q100" s="36">
        <f>IF(A100="","",IF(P100&lt;&gt;"",P100,IFERROR(IF(N(INDEX(Suppliers!$E$5:$E$24,MATCH(H100,Suppliers!$B$5:$B$24,0)))&gt;0,INDEX(Suppliers!$E$5:$E$24,MATCH(H100,Suppliers!$B$5:$B$24,0)),5),5)))</f>
        <v/>
      </c>
      <c r="R100" s="35" t="n"/>
      <c r="S100" s="37" t="n"/>
      <c r="T100" s="25" t="n"/>
      <c r="U100" s="37" t="n"/>
      <c r="V100" s="37" t="n"/>
      <c r="W100" s="36">
        <f>IF(A100="","",ROUNDUP(N(O100)*(Q100/7+Settings!$C$5),0))</f>
        <v/>
      </c>
      <c r="X100" s="25" t="n"/>
      <c r="Y100" s="25" t="n"/>
      <c r="Z100" s="32">
        <f>IF(A100="","",IF(Y100&lt;&gt;"",Y100,MAX(1,ROUNDUP(N(O100)*Settings!$C$7,0))))</f>
        <v/>
      </c>
      <c r="AA100" s="38">
        <f>IF(A100="","",MAX(N(S100),_xlfn.MAXIFS(Log!$A$2:$A$1001,Log!$B$2:$B$1001,A100,Log!$C$2:$C$1001,"Count")))</f>
        <v/>
      </c>
      <c r="AB100" s="39">
        <f>IF(A100="","",Z100*N(L100))</f>
        <v/>
      </c>
      <c r="AC100" s="40">
        <f>IF(A100="","",N(O100)*52*N(L100))</f>
        <v/>
      </c>
      <c r="AD100" s="39">
        <f>IF(A100="","",C100*N(L100))</f>
        <v/>
      </c>
      <c r="AE100" s="41">
        <f>IF(A100="",0,IF(AND(OR(B100="Order now",B100="Critical"),F100=0),1,0))</f>
        <v/>
      </c>
      <c r="AF100" s="41">
        <f>IF(AE100=1,IFERROR(MATCH(H100,Suppliers!$B$5:$B$24,0),99)*1000+ROW(),"")</f>
        <v/>
      </c>
      <c r="AG100" s="41">
        <f>IF(AF100="","",COUNTIF('Stock list'!$AF$2:$AF$301,"&lt;"&amp;AF100)+1)</f>
        <v/>
      </c>
      <c r="AH100" s="41">
        <f>IF(A100="",0,IF(OR(AA100=0,AND(B100="OK",OR(C100&lt;=D100+N(O100)*Settings!$C$6,Settings!$C$10-AA100&gt;Settings!$C$8*7))),1,0))</f>
        <v/>
      </c>
      <c r="AI100" s="41">
        <f>IF(AH100=0,"",IF(AA100=0,"Never counted",IF(C100&lt;=D100+N(O100)*Settings!$C$6,"Near the reorder point","Not counted for "&amp;INT((Settings!$C$10-AA100)/7)&amp;" weeks")))</f>
        <v/>
      </c>
      <c r="AJ100" s="41">
        <f>IF(AH100=1,IFERROR(MATCH(M100,Settings!$G$19:$G$38,0),99)*1000+ROW(),"")</f>
        <v/>
      </c>
      <c r="AK100" s="41">
        <f>IF(AJ100="","",COUNTIF('Stock list'!$AJ$2:$AJ$301,"&lt;"&amp;AJ100)+1)</f>
        <v/>
      </c>
      <c r="AL100" s="41">
        <f>IF(OR(A100="",N(AC100)=0),"",AC100+ROW()/1000000)</f>
        <v/>
      </c>
    </row>
    <row r="101">
      <c r="A101" s="24" t="n"/>
      <c r="B101" s="30">
        <f>IF(A101="","",IF(AA101=0,"No count",IF(AND(N(O101)&gt;0,C101/O101*7&lt;Q101),"Critical",IF(F101&gt;0,"On order",IF(AND(D101&gt;0,C101&lt;=D101),"Order now","OK")))))</f>
        <v/>
      </c>
      <c r="C101" s="31">
        <f>IF(A101="","",MAX(0,IF(_xlfn.MAXIFS(Log!$A$2:$A$1001,Log!$B$2:$B$1001,A101,Log!$C$2:$C$1001,"Count")&gt;N(S101),_xlfn.MAXIFS(Log!$D$2:$D$1001,Log!$B$2:$B$1001,A101,Log!$C$2:$C$1001,"Count",Log!$A$2:$A$1001,AA101),N(R101))+SUMIFS(Log!$D$2:$D$1001,Log!$B$2:$B$1001,A101,Log!$C$2:$C$1001,"Received",Log!$A$2:$A$1001,"&gt;"&amp;AA101)-SUMIFS(Log!$D$2:$D$1001,Log!$B$2:$B$1001,A101,Log!$C$2:$C$1001,"Used",Log!$A$2:$A$1001,"&gt;"&amp;AA101)+SUMIFS(Log!$D$2:$D$1001,Log!$B$2:$B$1001,A101,Log!$C$2:$C$1001,"Adjustment",Log!$A$2:$A$1001,"&gt;"&amp;AA101)))</f>
        <v/>
      </c>
      <c r="D101" s="32">
        <f>IF(A101="","",IF(X101&lt;&gt;"",X101,W101))</f>
        <v/>
      </c>
      <c r="E101" s="33">
        <f>IF(OR(A101="",N(O101)=0),"",C101/O101)</f>
        <v/>
      </c>
      <c r="F101" s="31">
        <f>IF(A101="","",MAX(0,N(T101)-SUMIFS(Log!$D$2:$D$1001,Log!$B$2:$B$1001,A101,Log!$C$2:$C$1001,"Received",Log!$A$2:$A$1001,"&gt;="&amp;N(U101))))</f>
        <v/>
      </c>
      <c r="G101" s="24" t="n"/>
      <c r="H101" s="24" t="n"/>
      <c r="I101" s="24" t="n"/>
      <c r="J101" s="24" t="n"/>
      <c r="K101" s="24" t="n"/>
      <c r="L101" s="34" t="n"/>
      <c r="M101" s="24" t="n"/>
      <c r="N101" s="24" t="n"/>
      <c r="O101" s="35" t="n"/>
      <c r="P101" s="25" t="n"/>
      <c r="Q101" s="36">
        <f>IF(A101="","",IF(P101&lt;&gt;"",P101,IFERROR(IF(N(INDEX(Suppliers!$E$5:$E$24,MATCH(H101,Suppliers!$B$5:$B$24,0)))&gt;0,INDEX(Suppliers!$E$5:$E$24,MATCH(H101,Suppliers!$B$5:$B$24,0)),5),5)))</f>
        <v/>
      </c>
      <c r="R101" s="35" t="n"/>
      <c r="S101" s="37" t="n"/>
      <c r="T101" s="25" t="n"/>
      <c r="U101" s="37" t="n"/>
      <c r="V101" s="37" t="n"/>
      <c r="W101" s="36">
        <f>IF(A101="","",ROUNDUP(N(O101)*(Q101/7+Settings!$C$5),0))</f>
        <v/>
      </c>
      <c r="X101" s="25" t="n"/>
      <c r="Y101" s="25" t="n"/>
      <c r="Z101" s="32">
        <f>IF(A101="","",IF(Y101&lt;&gt;"",Y101,MAX(1,ROUNDUP(N(O101)*Settings!$C$7,0))))</f>
        <v/>
      </c>
      <c r="AA101" s="38">
        <f>IF(A101="","",MAX(N(S101),_xlfn.MAXIFS(Log!$A$2:$A$1001,Log!$B$2:$B$1001,A101,Log!$C$2:$C$1001,"Count")))</f>
        <v/>
      </c>
      <c r="AB101" s="39">
        <f>IF(A101="","",Z101*N(L101))</f>
        <v/>
      </c>
      <c r="AC101" s="40">
        <f>IF(A101="","",N(O101)*52*N(L101))</f>
        <v/>
      </c>
      <c r="AD101" s="39">
        <f>IF(A101="","",C101*N(L101))</f>
        <v/>
      </c>
      <c r="AE101" s="41">
        <f>IF(A101="",0,IF(AND(OR(B101="Order now",B101="Critical"),F101=0),1,0))</f>
        <v/>
      </c>
      <c r="AF101" s="41">
        <f>IF(AE101=1,IFERROR(MATCH(H101,Suppliers!$B$5:$B$24,0),99)*1000+ROW(),"")</f>
        <v/>
      </c>
      <c r="AG101" s="41">
        <f>IF(AF101="","",COUNTIF('Stock list'!$AF$2:$AF$301,"&lt;"&amp;AF101)+1)</f>
        <v/>
      </c>
      <c r="AH101" s="41">
        <f>IF(A101="",0,IF(OR(AA101=0,AND(B101="OK",OR(C101&lt;=D101+N(O101)*Settings!$C$6,Settings!$C$10-AA101&gt;Settings!$C$8*7))),1,0))</f>
        <v/>
      </c>
      <c r="AI101" s="41">
        <f>IF(AH101=0,"",IF(AA101=0,"Never counted",IF(C101&lt;=D101+N(O101)*Settings!$C$6,"Near the reorder point","Not counted for "&amp;INT((Settings!$C$10-AA101)/7)&amp;" weeks")))</f>
        <v/>
      </c>
      <c r="AJ101" s="41">
        <f>IF(AH101=1,IFERROR(MATCH(M101,Settings!$G$19:$G$38,0),99)*1000+ROW(),"")</f>
        <v/>
      </c>
      <c r="AK101" s="41">
        <f>IF(AJ101="","",COUNTIF('Stock list'!$AJ$2:$AJ$301,"&lt;"&amp;AJ101)+1)</f>
        <v/>
      </c>
      <c r="AL101" s="41">
        <f>IF(OR(A101="",N(AC101)=0),"",AC101+ROW()/1000000)</f>
        <v/>
      </c>
    </row>
    <row r="102">
      <c r="A102" s="24" t="n"/>
      <c r="B102" s="30">
        <f>IF(A102="","",IF(AA102=0,"No count",IF(AND(N(O102)&gt;0,C102/O102*7&lt;Q102),"Critical",IF(F102&gt;0,"On order",IF(AND(D102&gt;0,C102&lt;=D102),"Order now","OK")))))</f>
        <v/>
      </c>
      <c r="C102" s="31">
        <f>IF(A102="","",MAX(0,IF(_xlfn.MAXIFS(Log!$A$2:$A$1001,Log!$B$2:$B$1001,A102,Log!$C$2:$C$1001,"Count")&gt;N(S102),_xlfn.MAXIFS(Log!$D$2:$D$1001,Log!$B$2:$B$1001,A102,Log!$C$2:$C$1001,"Count",Log!$A$2:$A$1001,AA102),N(R102))+SUMIFS(Log!$D$2:$D$1001,Log!$B$2:$B$1001,A102,Log!$C$2:$C$1001,"Received",Log!$A$2:$A$1001,"&gt;"&amp;AA102)-SUMIFS(Log!$D$2:$D$1001,Log!$B$2:$B$1001,A102,Log!$C$2:$C$1001,"Used",Log!$A$2:$A$1001,"&gt;"&amp;AA102)+SUMIFS(Log!$D$2:$D$1001,Log!$B$2:$B$1001,A102,Log!$C$2:$C$1001,"Adjustment",Log!$A$2:$A$1001,"&gt;"&amp;AA102)))</f>
        <v/>
      </c>
      <c r="D102" s="32">
        <f>IF(A102="","",IF(X102&lt;&gt;"",X102,W102))</f>
        <v/>
      </c>
      <c r="E102" s="33">
        <f>IF(OR(A102="",N(O102)=0),"",C102/O102)</f>
        <v/>
      </c>
      <c r="F102" s="31">
        <f>IF(A102="","",MAX(0,N(T102)-SUMIFS(Log!$D$2:$D$1001,Log!$B$2:$B$1001,A102,Log!$C$2:$C$1001,"Received",Log!$A$2:$A$1001,"&gt;="&amp;N(U102))))</f>
        <v/>
      </c>
      <c r="G102" s="24" t="n"/>
      <c r="H102" s="24" t="n"/>
      <c r="I102" s="24" t="n"/>
      <c r="J102" s="24" t="n"/>
      <c r="K102" s="24" t="n"/>
      <c r="L102" s="34" t="n"/>
      <c r="M102" s="24" t="n"/>
      <c r="N102" s="24" t="n"/>
      <c r="O102" s="35" t="n"/>
      <c r="P102" s="25" t="n"/>
      <c r="Q102" s="36">
        <f>IF(A102="","",IF(P102&lt;&gt;"",P102,IFERROR(IF(N(INDEX(Suppliers!$E$5:$E$24,MATCH(H102,Suppliers!$B$5:$B$24,0)))&gt;0,INDEX(Suppliers!$E$5:$E$24,MATCH(H102,Suppliers!$B$5:$B$24,0)),5),5)))</f>
        <v/>
      </c>
      <c r="R102" s="35" t="n"/>
      <c r="S102" s="37" t="n"/>
      <c r="T102" s="25" t="n"/>
      <c r="U102" s="37" t="n"/>
      <c r="V102" s="37" t="n"/>
      <c r="W102" s="36">
        <f>IF(A102="","",ROUNDUP(N(O102)*(Q102/7+Settings!$C$5),0))</f>
        <v/>
      </c>
      <c r="X102" s="25" t="n"/>
      <c r="Y102" s="25" t="n"/>
      <c r="Z102" s="32">
        <f>IF(A102="","",IF(Y102&lt;&gt;"",Y102,MAX(1,ROUNDUP(N(O102)*Settings!$C$7,0))))</f>
        <v/>
      </c>
      <c r="AA102" s="38">
        <f>IF(A102="","",MAX(N(S102),_xlfn.MAXIFS(Log!$A$2:$A$1001,Log!$B$2:$B$1001,A102,Log!$C$2:$C$1001,"Count")))</f>
        <v/>
      </c>
      <c r="AB102" s="39">
        <f>IF(A102="","",Z102*N(L102))</f>
        <v/>
      </c>
      <c r="AC102" s="40">
        <f>IF(A102="","",N(O102)*52*N(L102))</f>
        <v/>
      </c>
      <c r="AD102" s="39">
        <f>IF(A102="","",C102*N(L102))</f>
        <v/>
      </c>
      <c r="AE102" s="41">
        <f>IF(A102="",0,IF(AND(OR(B102="Order now",B102="Critical"),F102=0),1,0))</f>
        <v/>
      </c>
      <c r="AF102" s="41">
        <f>IF(AE102=1,IFERROR(MATCH(H102,Suppliers!$B$5:$B$24,0),99)*1000+ROW(),"")</f>
        <v/>
      </c>
      <c r="AG102" s="41">
        <f>IF(AF102="","",COUNTIF('Stock list'!$AF$2:$AF$301,"&lt;"&amp;AF102)+1)</f>
        <v/>
      </c>
      <c r="AH102" s="41">
        <f>IF(A102="",0,IF(OR(AA102=0,AND(B102="OK",OR(C102&lt;=D102+N(O102)*Settings!$C$6,Settings!$C$10-AA102&gt;Settings!$C$8*7))),1,0))</f>
        <v/>
      </c>
      <c r="AI102" s="41">
        <f>IF(AH102=0,"",IF(AA102=0,"Never counted",IF(C102&lt;=D102+N(O102)*Settings!$C$6,"Near the reorder point","Not counted for "&amp;INT((Settings!$C$10-AA102)/7)&amp;" weeks")))</f>
        <v/>
      </c>
      <c r="AJ102" s="41">
        <f>IF(AH102=1,IFERROR(MATCH(M102,Settings!$G$19:$G$38,0),99)*1000+ROW(),"")</f>
        <v/>
      </c>
      <c r="AK102" s="41">
        <f>IF(AJ102="","",COUNTIF('Stock list'!$AJ$2:$AJ$301,"&lt;"&amp;AJ102)+1)</f>
        <v/>
      </c>
      <c r="AL102" s="41">
        <f>IF(OR(A102="",N(AC102)=0),"",AC102+ROW()/1000000)</f>
        <v/>
      </c>
    </row>
    <row r="103">
      <c r="A103" s="24" t="n"/>
      <c r="B103" s="30">
        <f>IF(A103="","",IF(AA103=0,"No count",IF(AND(N(O103)&gt;0,C103/O103*7&lt;Q103),"Critical",IF(F103&gt;0,"On order",IF(AND(D103&gt;0,C103&lt;=D103),"Order now","OK")))))</f>
        <v/>
      </c>
      <c r="C103" s="31">
        <f>IF(A103="","",MAX(0,IF(_xlfn.MAXIFS(Log!$A$2:$A$1001,Log!$B$2:$B$1001,A103,Log!$C$2:$C$1001,"Count")&gt;N(S103),_xlfn.MAXIFS(Log!$D$2:$D$1001,Log!$B$2:$B$1001,A103,Log!$C$2:$C$1001,"Count",Log!$A$2:$A$1001,AA103),N(R103))+SUMIFS(Log!$D$2:$D$1001,Log!$B$2:$B$1001,A103,Log!$C$2:$C$1001,"Received",Log!$A$2:$A$1001,"&gt;"&amp;AA103)-SUMIFS(Log!$D$2:$D$1001,Log!$B$2:$B$1001,A103,Log!$C$2:$C$1001,"Used",Log!$A$2:$A$1001,"&gt;"&amp;AA103)+SUMIFS(Log!$D$2:$D$1001,Log!$B$2:$B$1001,A103,Log!$C$2:$C$1001,"Adjustment",Log!$A$2:$A$1001,"&gt;"&amp;AA103)))</f>
        <v/>
      </c>
      <c r="D103" s="32">
        <f>IF(A103="","",IF(X103&lt;&gt;"",X103,W103))</f>
        <v/>
      </c>
      <c r="E103" s="33">
        <f>IF(OR(A103="",N(O103)=0),"",C103/O103)</f>
        <v/>
      </c>
      <c r="F103" s="31">
        <f>IF(A103="","",MAX(0,N(T103)-SUMIFS(Log!$D$2:$D$1001,Log!$B$2:$B$1001,A103,Log!$C$2:$C$1001,"Received",Log!$A$2:$A$1001,"&gt;="&amp;N(U103))))</f>
        <v/>
      </c>
      <c r="G103" s="24" t="n"/>
      <c r="H103" s="24" t="n"/>
      <c r="I103" s="24" t="n"/>
      <c r="J103" s="24" t="n"/>
      <c r="K103" s="24" t="n"/>
      <c r="L103" s="34" t="n"/>
      <c r="M103" s="24" t="n"/>
      <c r="N103" s="24" t="n"/>
      <c r="O103" s="35" t="n"/>
      <c r="P103" s="25" t="n"/>
      <c r="Q103" s="36">
        <f>IF(A103="","",IF(P103&lt;&gt;"",P103,IFERROR(IF(N(INDEX(Suppliers!$E$5:$E$24,MATCH(H103,Suppliers!$B$5:$B$24,0)))&gt;0,INDEX(Suppliers!$E$5:$E$24,MATCH(H103,Suppliers!$B$5:$B$24,0)),5),5)))</f>
        <v/>
      </c>
      <c r="R103" s="35" t="n"/>
      <c r="S103" s="37" t="n"/>
      <c r="T103" s="25" t="n"/>
      <c r="U103" s="37" t="n"/>
      <c r="V103" s="37" t="n"/>
      <c r="W103" s="36">
        <f>IF(A103="","",ROUNDUP(N(O103)*(Q103/7+Settings!$C$5),0))</f>
        <v/>
      </c>
      <c r="X103" s="25" t="n"/>
      <c r="Y103" s="25" t="n"/>
      <c r="Z103" s="32">
        <f>IF(A103="","",IF(Y103&lt;&gt;"",Y103,MAX(1,ROUNDUP(N(O103)*Settings!$C$7,0))))</f>
        <v/>
      </c>
      <c r="AA103" s="38">
        <f>IF(A103="","",MAX(N(S103),_xlfn.MAXIFS(Log!$A$2:$A$1001,Log!$B$2:$B$1001,A103,Log!$C$2:$C$1001,"Count")))</f>
        <v/>
      </c>
      <c r="AB103" s="39">
        <f>IF(A103="","",Z103*N(L103))</f>
        <v/>
      </c>
      <c r="AC103" s="40">
        <f>IF(A103="","",N(O103)*52*N(L103))</f>
        <v/>
      </c>
      <c r="AD103" s="39">
        <f>IF(A103="","",C103*N(L103))</f>
        <v/>
      </c>
      <c r="AE103" s="41">
        <f>IF(A103="",0,IF(AND(OR(B103="Order now",B103="Critical"),F103=0),1,0))</f>
        <v/>
      </c>
      <c r="AF103" s="41">
        <f>IF(AE103=1,IFERROR(MATCH(H103,Suppliers!$B$5:$B$24,0),99)*1000+ROW(),"")</f>
        <v/>
      </c>
      <c r="AG103" s="41">
        <f>IF(AF103="","",COUNTIF('Stock list'!$AF$2:$AF$301,"&lt;"&amp;AF103)+1)</f>
        <v/>
      </c>
      <c r="AH103" s="41">
        <f>IF(A103="",0,IF(OR(AA103=0,AND(B103="OK",OR(C103&lt;=D103+N(O103)*Settings!$C$6,Settings!$C$10-AA103&gt;Settings!$C$8*7))),1,0))</f>
        <v/>
      </c>
      <c r="AI103" s="41">
        <f>IF(AH103=0,"",IF(AA103=0,"Never counted",IF(C103&lt;=D103+N(O103)*Settings!$C$6,"Near the reorder point","Not counted for "&amp;INT((Settings!$C$10-AA103)/7)&amp;" weeks")))</f>
        <v/>
      </c>
      <c r="AJ103" s="41">
        <f>IF(AH103=1,IFERROR(MATCH(M103,Settings!$G$19:$G$38,0),99)*1000+ROW(),"")</f>
        <v/>
      </c>
      <c r="AK103" s="41">
        <f>IF(AJ103="","",COUNTIF('Stock list'!$AJ$2:$AJ$301,"&lt;"&amp;AJ103)+1)</f>
        <v/>
      </c>
      <c r="AL103" s="41">
        <f>IF(OR(A103="",N(AC103)=0),"",AC103+ROW()/1000000)</f>
        <v/>
      </c>
    </row>
    <row r="104">
      <c r="A104" s="24" t="n"/>
      <c r="B104" s="30">
        <f>IF(A104="","",IF(AA104=0,"No count",IF(AND(N(O104)&gt;0,C104/O104*7&lt;Q104),"Critical",IF(F104&gt;0,"On order",IF(AND(D104&gt;0,C104&lt;=D104),"Order now","OK")))))</f>
        <v/>
      </c>
      <c r="C104" s="31">
        <f>IF(A104="","",MAX(0,IF(_xlfn.MAXIFS(Log!$A$2:$A$1001,Log!$B$2:$B$1001,A104,Log!$C$2:$C$1001,"Count")&gt;N(S104),_xlfn.MAXIFS(Log!$D$2:$D$1001,Log!$B$2:$B$1001,A104,Log!$C$2:$C$1001,"Count",Log!$A$2:$A$1001,AA104),N(R104))+SUMIFS(Log!$D$2:$D$1001,Log!$B$2:$B$1001,A104,Log!$C$2:$C$1001,"Received",Log!$A$2:$A$1001,"&gt;"&amp;AA104)-SUMIFS(Log!$D$2:$D$1001,Log!$B$2:$B$1001,A104,Log!$C$2:$C$1001,"Used",Log!$A$2:$A$1001,"&gt;"&amp;AA104)+SUMIFS(Log!$D$2:$D$1001,Log!$B$2:$B$1001,A104,Log!$C$2:$C$1001,"Adjustment",Log!$A$2:$A$1001,"&gt;"&amp;AA104)))</f>
        <v/>
      </c>
      <c r="D104" s="32">
        <f>IF(A104="","",IF(X104&lt;&gt;"",X104,W104))</f>
        <v/>
      </c>
      <c r="E104" s="33">
        <f>IF(OR(A104="",N(O104)=0),"",C104/O104)</f>
        <v/>
      </c>
      <c r="F104" s="31">
        <f>IF(A104="","",MAX(0,N(T104)-SUMIFS(Log!$D$2:$D$1001,Log!$B$2:$B$1001,A104,Log!$C$2:$C$1001,"Received",Log!$A$2:$A$1001,"&gt;="&amp;N(U104))))</f>
        <v/>
      </c>
      <c r="G104" s="24" t="n"/>
      <c r="H104" s="24" t="n"/>
      <c r="I104" s="24" t="n"/>
      <c r="J104" s="24" t="n"/>
      <c r="K104" s="24" t="n"/>
      <c r="L104" s="34" t="n"/>
      <c r="M104" s="24" t="n"/>
      <c r="N104" s="24" t="n"/>
      <c r="O104" s="35" t="n"/>
      <c r="P104" s="25" t="n"/>
      <c r="Q104" s="36">
        <f>IF(A104="","",IF(P104&lt;&gt;"",P104,IFERROR(IF(N(INDEX(Suppliers!$E$5:$E$24,MATCH(H104,Suppliers!$B$5:$B$24,0)))&gt;0,INDEX(Suppliers!$E$5:$E$24,MATCH(H104,Suppliers!$B$5:$B$24,0)),5),5)))</f>
        <v/>
      </c>
      <c r="R104" s="35" t="n"/>
      <c r="S104" s="37" t="n"/>
      <c r="T104" s="25" t="n"/>
      <c r="U104" s="37" t="n"/>
      <c r="V104" s="37" t="n"/>
      <c r="W104" s="36">
        <f>IF(A104="","",ROUNDUP(N(O104)*(Q104/7+Settings!$C$5),0))</f>
        <v/>
      </c>
      <c r="X104" s="25" t="n"/>
      <c r="Y104" s="25" t="n"/>
      <c r="Z104" s="32">
        <f>IF(A104="","",IF(Y104&lt;&gt;"",Y104,MAX(1,ROUNDUP(N(O104)*Settings!$C$7,0))))</f>
        <v/>
      </c>
      <c r="AA104" s="38">
        <f>IF(A104="","",MAX(N(S104),_xlfn.MAXIFS(Log!$A$2:$A$1001,Log!$B$2:$B$1001,A104,Log!$C$2:$C$1001,"Count")))</f>
        <v/>
      </c>
      <c r="AB104" s="39">
        <f>IF(A104="","",Z104*N(L104))</f>
        <v/>
      </c>
      <c r="AC104" s="40">
        <f>IF(A104="","",N(O104)*52*N(L104))</f>
        <v/>
      </c>
      <c r="AD104" s="39">
        <f>IF(A104="","",C104*N(L104))</f>
        <v/>
      </c>
      <c r="AE104" s="41">
        <f>IF(A104="",0,IF(AND(OR(B104="Order now",B104="Critical"),F104=0),1,0))</f>
        <v/>
      </c>
      <c r="AF104" s="41">
        <f>IF(AE104=1,IFERROR(MATCH(H104,Suppliers!$B$5:$B$24,0),99)*1000+ROW(),"")</f>
        <v/>
      </c>
      <c r="AG104" s="41">
        <f>IF(AF104="","",COUNTIF('Stock list'!$AF$2:$AF$301,"&lt;"&amp;AF104)+1)</f>
        <v/>
      </c>
      <c r="AH104" s="41">
        <f>IF(A104="",0,IF(OR(AA104=0,AND(B104="OK",OR(C104&lt;=D104+N(O104)*Settings!$C$6,Settings!$C$10-AA104&gt;Settings!$C$8*7))),1,0))</f>
        <v/>
      </c>
      <c r="AI104" s="41">
        <f>IF(AH104=0,"",IF(AA104=0,"Never counted",IF(C104&lt;=D104+N(O104)*Settings!$C$6,"Near the reorder point","Not counted for "&amp;INT((Settings!$C$10-AA104)/7)&amp;" weeks")))</f>
        <v/>
      </c>
      <c r="AJ104" s="41">
        <f>IF(AH104=1,IFERROR(MATCH(M104,Settings!$G$19:$G$38,0),99)*1000+ROW(),"")</f>
        <v/>
      </c>
      <c r="AK104" s="41">
        <f>IF(AJ104="","",COUNTIF('Stock list'!$AJ$2:$AJ$301,"&lt;"&amp;AJ104)+1)</f>
        <v/>
      </c>
      <c r="AL104" s="41">
        <f>IF(OR(A104="",N(AC104)=0),"",AC104+ROW()/1000000)</f>
        <v/>
      </c>
    </row>
    <row r="105">
      <c r="A105" s="24" t="n"/>
      <c r="B105" s="30">
        <f>IF(A105="","",IF(AA105=0,"No count",IF(AND(N(O105)&gt;0,C105/O105*7&lt;Q105),"Critical",IF(F105&gt;0,"On order",IF(AND(D105&gt;0,C105&lt;=D105),"Order now","OK")))))</f>
        <v/>
      </c>
      <c r="C105" s="31">
        <f>IF(A105="","",MAX(0,IF(_xlfn.MAXIFS(Log!$A$2:$A$1001,Log!$B$2:$B$1001,A105,Log!$C$2:$C$1001,"Count")&gt;N(S105),_xlfn.MAXIFS(Log!$D$2:$D$1001,Log!$B$2:$B$1001,A105,Log!$C$2:$C$1001,"Count",Log!$A$2:$A$1001,AA105),N(R105))+SUMIFS(Log!$D$2:$D$1001,Log!$B$2:$B$1001,A105,Log!$C$2:$C$1001,"Received",Log!$A$2:$A$1001,"&gt;"&amp;AA105)-SUMIFS(Log!$D$2:$D$1001,Log!$B$2:$B$1001,A105,Log!$C$2:$C$1001,"Used",Log!$A$2:$A$1001,"&gt;"&amp;AA105)+SUMIFS(Log!$D$2:$D$1001,Log!$B$2:$B$1001,A105,Log!$C$2:$C$1001,"Adjustment",Log!$A$2:$A$1001,"&gt;"&amp;AA105)))</f>
        <v/>
      </c>
      <c r="D105" s="32">
        <f>IF(A105="","",IF(X105&lt;&gt;"",X105,W105))</f>
        <v/>
      </c>
      <c r="E105" s="33">
        <f>IF(OR(A105="",N(O105)=0),"",C105/O105)</f>
        <v/>
      </c>
      <c r="F105" s="31">
        <f>IF(A105="","",MAX(0,N(T105)-SUMIFS(Log!$D$2:$D$1001,Log!$B$2:$B$1001,A105,Log!$C$2:$C$1001,"Received",Log!$A$2:$A$1001,"&gt;="&amp;N(U105))))</f>
        <v/>
      </c>
      <c r="G105" s="24" t="n"/>
      <c r="H105" s="24" t="n"/>
      <c r="I105" s="24" t="n"/>
      <c r="J105" s="24" t="n"/>
      <c r="K105" s="24" t="n"/>
      <c r="L105" s="34" t="n"/>
      <c r="M105" s="24" t="n"/>
      <c r="N105" s="24" t="n"/>
      <c r="O105" s="35" t="n"/>
      <c r="P105" s="25" t="n"/>
      <c r="Q105" s="36">
        <f>IF(A105="","",IF(P105&lt;&gt;"",P105,IFERROR(IF(N(INDEX(Suppliers!$E$5:$E$24,MATCH(H105,Suppliers!$B$5:$B$24,0)))&gt;0,INDEX(Suppliers!$E$5:$E$24,MATCH(H105,Suppliers!$B$5:$B$24,0)),5),5)))</f>
        <v/>
      </c>
      <c r="R105" s="35" t="n"/>
      <c r="S105" s="37" t="n"/>
      <c r="T105" s="25" t="n"/>
      <c r="U105" s="37" t="n"/>
      <c r="V105" s="37" t="n"/>
      <c r="W105" s="36">
        <f>IF(A105="","",ROUNDUP(N(O105)*(Q105/7+Settings!$C$5),0))</f>
        <v/>
      </c>
      <c r="X105" s="25" t="n"/>
      <c r="Y105" s="25" t="n"/>
      <c r="Z105" s="32">
        <f>IF(A105="","",IF(Y105&lt;&gt;"",Y105,MAX(1,ROUNDUP(N(O105)*Settings!$C$7,0))))</f>
        <v/>
      </c>
      <c r="AA105" s="38">
        <f>IF(A105="","",MAX(N(S105),_xlfn.MAXIFS(Log!$A$2:$A$1001,Log!$B$2:$B$1001,A105,Log!$C$2:$C$1001,"Count")))</f>
        <v/>
      </c>
      <c r="AB105" s="39">
        <f>IF(A105="","",Z105*N(L105))</f>
        <v/>
      </c>
      <c r="AC105" s="40">
        <f>IF(A105="","",N(O105)*52*N(L105))</f>
        <v/>
      </c>
      <c r="AD105" s="39">
        <f>IF(A105="","",C105*N(L105))</f>
        <v/>
      </c>
      <c r="AE105" s="41">
        <f>IF(A105="",0,IF(AND(OR(B105="Order now",B105="Critical"),F105=0),1,0))</f>
        <v/>
      </c>
      <c r="AF105" s="41">
        <f>IF(AE105=1,IFERROR(MATCH(H105,Suppliers!$B$5:$B$24,0),99)*1000+ROW(),"")</f>
        <v/>
      </c>
      <c r="AG105" s="41">
        <f>IF(AF105="","",COUNTIF('Stock list'!$AF$2:$AF$301,"&lt;"&amp;AF105)+1)</f>
        <v/>
      </c>
      <c r="AH105" s="41">
        <f>IF(A105="",0,IF(OR(AA105=0,AND(B105="OK",OR(C105&lt;=D105+N(O105)*Settings!$C$6,Settings!$C$10-AA105&gt;Settings!$C$8*7))),1,0))</f>
        <v/>
      </c>
      <c r="AI105" s="41">
        <f>IF(AH105=0,"",IF(AA105=0,"Never counted",IF(C105&lt;=D105+N(O105)*Settings!$C$6,"Near the reorder point","Not counted for "&amp;INT((Settings!$C$10-AA105)/7)&amp;" weeks")))</f>
        <v/>
      </c>
      <c r="AJ105" s="41">
        <f>IF(AH105=1,IFERROR(MATCH(M105,Settings!$G$19:$G$38,0),99)*1000+ROW(),"")</f>
        <v/>
      </c>
      <c r="AK105" s="41">
        <f>IF(AJ105="","",COUNTIF('Stock list'!$AJ$2:$AJ$301,"&lt;"&amp;AJ105)+1)</f>
        <v/>
      </c>
      <c r="AL105" s="41">
        <f>IF(OR(A105="",N(AC105)=0),"",AC105+ROW()/1000000)</f>
        <v/>
      </c>
    </row>
    <row r="106">
      <c r="A106" s="24" t="n"/>
      <c r="B106" s="30">
        <f>IF(A106="","",IF(AA106=0,"No count",IF(AND(N(O106)&gt;0,C106/O106*7&lt;Q106),"Critical",IF(F106&gt;0,"On order",IF(AND(D106&gt;0,C106&lt;=D106),"Order now","OK")))))</f>
        <v/>
      </c>
      <c r="C106" s="31">
        <f>IF(A106="","",MAX(0,IF(_xlfn.MAXIFS(Log!$A$2:$A$1001,Log!$B$2:$B$1001,A106,Log!$C$2:$C$1001,"Count")&gt;N(S106),_xlfn.MAXIFS(Log!$D$2:$D$1001,Log!$B$2:$B$1001,A106,Log!$C$2:$C$1001,"Count",Log!$A$2:$A$1001,AA106),N(R106))+SUMIFS(Log!$D$2:$D$1001,Log!$B$2:$B$1001,A106,Log!$C$2:$C$1001,"Received",Log!$A$2:$A$1001,"&gt;"&amp;AA106)-SUMIFS(Log!$D$2:$D$1001,Log!$B$2:$B$1001,A106,Log!$C$2:$C$1001,"Used",Log!$A$2:$A$1001,"&gt;"&amp;AA106)+SUMIFS(Log!$D$2:$D$1001,Log!$B$2:$B$1001,A106,Log!$C$2:$C$1001,"Adjustment",Log!$A$2:$A$1001,"&gt;"&amp;AA106)))</f>
        <v/>
      </c>
      <c r="D106" s="32">
        <f>IF(A106="","",IF(X106&lt;&gt;"",X106,W106))</f>
        <v/>
      </c>
      <c r="E106" s="33">
        <f>IF(OR(A106="",N(O106)=0),"",C106/O106)</f>
        <v/>
      </c>
      <c r="F106" s="31">
        <f>IF(A106="","",MAX(0,N(T106)-SUMIFS(Log!$D$2:$D$1001,Log!$B$2:$B$1001,A106,Log!$C$2:$C$1001,"Received",Log!$A$2:$A$1001,"&gt;="&amp;N(U106))))</f>
        <v/>
      </c>
      <c r="G106" s="24" t="n"/>
      <c r="H106" s="24" t="n"/>
      <c r="I106" s="24" t="n"/>
      <c r="J106" s="24" t="n"/>
      <c r="K106" s="24" t="n"/>
      <c r="L106" s="34" t="n"/>
      <c r="M106" s="24" t="n"/>
      <c r="N106" s="24" t="n"/>
      <c r="O106" s="35" t="n"/>
      <c r="P106" s="25" t="n"/>
      <c r="Q106" s="36">
        <f>IF(A106="","",IF(P106&lt;&gt;"",P106,IFERROR(IF(N(INDEX(Suppliers!$E$5:$E$24,MATCH(H106,Suppliers!$B$5:$B$24,0)))&gt;0,INDEX(Suppliers!$E$5:$E$24,MATCH(H106,Suppliers!$B$5:$B$24,0)),5),5)))</f>
        <v/>
      </c>
      <c r="R106" s="35" t="n"/>
      <c r="S106" s="37" t="n"/>
      <c r="T106" s="25" t="n"/>
      <c r="U106" s="37" t="n"/>
      <c r="V106" s="37" t="n"/>
      <c r="W106" s="36">
        <f>IF(A106="","",ROUNDUP(N(O106)*(Q106/7+Settings!$C$5),0))</f>
        <v/>
      </c>
      <c r="X106" s="25" t="n"/>
      <c r="Y106" s="25" t="n"/>
      <c r="Z106" s="32">
        <f>IF(A106="","",IF(Y106&lt;&gt;"",Y106,MAX(1,ROUNDUP(N(O106)*Settings!$C$7,0))))</f>
        <v/>
      </c>
      <c r="AA106" s="38">
        <f>IF(A106="","",MAX(N(S106),_xlfn.MAXIFS(Log!$A$2:$A$1001,Log!$B$2:$B$1001,A106,Log!$C$2:$C$1001,"Count")))</f>
        <v/>
      </c>
      <c r="AB106" s="39">
        <f>IF(A106="","",Z106*N(L106))</f>
        <v/>
      </c>
      <c r="AC106" s="40">
        <f>IF(A106="","",N(O106)*52*N(L106))</f>
        <v/>
      </c>
      <c r="AD106" s="39">
        <f>IF(A106="","",C106*N(L106))</f>
        <v/>
      </c>
      <c r="AE106" s="41">
        <f>IF(A106="",0,IF(AND(OR(B106="Order now",B106="Critical"),F106=0),1,0))</f>
        <v/>
      </c>
      <c r="AF106" s="41">
        <f>IF(AE106=1,IFERROR(MATCH(H106,Suppliers!$B$5:$B$24,0),99)*1000+ROW(),"")</f>
        <v/>
      </c>
      <c r="AG106" s="41">
        <f>IF(AF106="","",COUNTIF('Stock list'!$AF$2:$AF$301,"&lt;"&amp;AF106)+1)</f>
        <v/>
      </c>
      <c r="AH106" s="41">
        <f>IF(A106="",0,IF(OR(AA106=0,AND(B106="OK",OR(C106&lt;=D106+N(O106)*Settings!$C$6,Settings!$C$10-AA106&gt;Settings!$C$8*7))),1,0))</f>
        <v/>
      </c>
      <c r="AI106" s="41">
        <f>IF(AH106=0,"",IF(AA106=0,"Never counted",IF(C106&lt;=D106+N(O106)*Settings!$C$6,"Near the reorder point","Not counted for "&amp;INT((Settings!$C$10-AA106)/7)&amp;" weeks")))</f>
        <v/>
      </c>
      <c r="AJ106" s="41">
        <f>IF(AH106=1,IFERROR(MATCH(M106,Settings!$G$19:$G$38,0),99)*1000+ROW(),"")</f>
        <v/>
      </c>
      <c r="AK106" s="41">
        <f>IF(AJ106="","",COUNTIF('Stock list'!$AJ$2:$AJ$301,"&lt;"&amp;AJ106)+1)</f>
        <v/>
      </c>
      <c r="AL106" s="41">
        <f>IF(OR(A106="",N(AC106)=0),"",AC106+ROW()/1000000)</f>
        <v/>
      </c>
    </row>
    <row r="107">
      <c r="A107" s="24" t="n"/>
      <c r="B107" s="30">
        <f>IF(A107="","",IF(AA107=0,"No count",IF(AND(N(O107)&gt;0,C107/O107*7&lt;Q107),"Critical",IF(F107&gt;0,"On order",IF(AND(D107&gt;0,C107&lt;=D107),"Order now","OK")))))</f>
        <v/>
      </c>
      <c r="C107" s="31">
        <f>IF(A107="","",MAX(0,IF(_xlfn.MAXIFS(Log!$A$2:$A$1001,Log!$B$2:$B$1001,A107,Log!$C$2:$C$1001,"Count")&gt;N(S107),_xlfn.MAXIFS(Log!$D$2:$D$1001,Log!$B$2:$B$1001,A107,Log!$C$2:$C$1001,"Count",Log!$A$2:$A$1001,AA107),N(R107))+SUMIFS(Log!$D$2:$D$1001,Log!$B$2:$B$1001,A107,Log!$C$2:$C$1001,"Received",Log!$A$2:$A$1001,"&gt;"&amp;AA107)-SUMIFS(Log!$D$2:$D$1001,Log!$B$2:$B$1001,A107,Log!$C$2:$C$1001,"Used",Log!$A$2:$A$1001,"&gt;"&amp;AA107)+SUMIFS(Log!$D$2:$D$1001,Log!$B$2:$B$1001,A107,Log!$C$2:$C$1001,"Adjustment",Log!$A$2:$A$1001,"&gt;"&amp;AA107)))</f>
        <v/>
      </c>
      <c r="D107" s="32">
        <f>IF(A107="","",IF(X107&lt;&gt;"",X107,W107))</f>
        <v/>
      </c>
      <c r="E107" s="33">
        <f>IF(OR(A107="",N(O107)=0),"",C107/O107)</f>
        <v/>
      </c>
      <c r="F107" s="31">
        <f>IF(A107="","",MAX(0,N(T107)-SUMIFS(Log!$D$2:$D$1001,Log!$B$2:$B$1001,A107,Log!$C$2:$C$1001,"Received",Log!$A$2:$A$1001,"&gt;="&amp;N(U107))))</f>
        <v/>
      </c>
      <c r="G107" s="24" t="n"/>
      <c r="H107" s="24" t="n"/>
      <c r="I107" s="24" t="n"/>
      <c r="J107" s="24" t="n"/>
      <c r="K107" s="24" t="n"/>
      <c r="L107" s="34" t="n"/>
      <c r="M107" s="24" t="n"/>
      <c r="N107" s="24" t="n"/>
      <c r="O107" s="35" t="n"/>
      <c r="P107" s="25" t="n"/>
      <c r="Q107" s="36">
        <f>IF(A107="","",IF(P107&lt;&gt;"",P107,IFERROR(IF(N(INDEX(Suppliers!$E$5:$E$24,MATCH(H107,Suppliers!$B$5:$B$24,0)))&gt;0,INDEX(Suppliers!$E$5:$E$24,MATCH(H107,Suppliers!$B$5:$B$24,0)),5),5)))</f>
        <v/>
      </c>
      <c r="R107" s="35" t="n"/>
      <c r="S107" s="37" t="n"/>
      <c r="T107" s="25" t="n"/>
      <c r="U107" s="37" t="n"/>
      <c r="V107" s="37" t="n"/>
      <c r="W107" s="36">
        <f>IF(A107="","",ROUNDUP(N(O107)*(Q107/7+Settings!$C$5),0))</f>
        <v/>
      </c>
      <c r="X107" s="25" t="n"/>
      <c r="Y107" s="25" t="n"/>
      <c r="Z107" s="32">
        <f>IF(A107="","",IF(Y107&lt;&gt;"",Y107,MAX(1,ROUNDUP(N(O107)*Settings!$C$7,0))))</f>
        <v/>
      </c>
      <c r="AA107" s="38">
        <f>IF(A107="","",MAX(N(S107),_xlfn.MAXIFS(Log!$A$2:$A$1001,Log!$B$2:$B$1001,A107,Log!$C$2:$C$1001,"Count")))</f>
        <v/>
      </c>
      <c r="AB107" s="39">
        <f>IF(A107="","",Z107*N(L107))</f>
        <v/>
      </c>
      <c r="AC107" s="40">
        <f>IF(A107="","",N(O107)*52*N(L107))</f>
        <v/>
      </c>
      <c r="AD107" s="39">
        <f>IF(A107="","",C107*N(L107))</f>
        <v/>
      </c>
      <c r="AE107" s="41">
        <f>IF(A107="",0,IF(AND(OR(B107="Order now",B107="Critical"),F107=0),1,0))</f>
        <v/>
      </c>
      <c r="AF107" s="41">
        <f>IF(AE107=1,IFERROR(MATCH(H107,Suppliers!$B$5:$B$24,0),99)*1000+ROW(),"")</f>
        <v/>
      </c>
      <c r="AG107" s="41">
        <f>IF(AF107="","",COUNTIF('Stock list'!$AF$2:$AF$301,"&lt;"&amp;AF107)+1)</f>
        <v/>
      </c>
      <c r="AH107" s="41">
        <f>IF(A107="",0,IF(OR(AA107=0,AND(B107="OK",OR(C107&lt;=D107+N(O107)*Settings!$C$6,Settings!$C$10-AA107&gt;Settings!$C$8*7))),1,0))</f>
        <v/>
      </c>
      <c r="AI107" s="41">
        <f>IF(AH107=0,"",IF(AA107=0,"Never counted",IF(C107&lt;=D107+N(O107)*Settings!$C$6,"Near the reorder point","Not counted for "&amp;INT((Settings!$C$10-AA107)/7)&amp;" weeks")))</f>
        <v/>
      </c>
      <c r="AJ107" s="41">
        <f>IF(AH107=1,IFERROR(MATCH(M107,Settings!$G$19:$G$38,0),99)*1000+ROW(),"")</f>
        <v/>
      </c>
      <c r="AK107" s="41">
        <f>IF(AJ107="","",COUNTIF('Stock list'!$AJ$2:$AJ$301,"&lt;"&amp;AJ107)+1)</f>
        <v/>
      </c>
      <c r="AL107" s="41">
        <f>IF(OR(A107="",N(AC107)=0),"",AC107+ROW()/1000000)</f>
        <v/>
      </c>
    </row>
    <row r="108">
      <c r="A108" s="24" t="n"/>
      <c r="B108" s="30">
        <f>IF(A108="","",IF(AA108=0,"No count",IF(AND(N(O108)&gt;0,C108/O108*7&lt;Q108),"Critical",IF(F108&gt;0,"On order",IF(AND(D108&gt;0,C108&lt;=D108),"Order now","OK")))))</f>
        <v/>
      </c>
      <c r="C108" s="31">
        <f>IF(A108="","",MAX(0,IF(_xlfn.MAXIFS(Log!$A$2:$A$1001,Log!$B$2:$B$1001,A108,Log!$C$2:$C$1001,"Count")&gt;N(S108),_xlfn.MAXIFS(Log!$D$2:$D$1001,Log!$B$2:$B$1001,A108,Log!$C$2:$C$1001,"Count",Log!$A$2:$A$1001,AA108),N(R108))+SUMIFS(Log!$D$2:$D$1001,Log!$B$2:$B$1001,A108,Log!$C$2:$C$1001,"Received",Log!$A$2:$A$1001,"&gt;"&amp;AA108)-SUMIFS(Log!$D$2:$D$1001,Log!$B$2:$B$1001,A108,Log!$C$2:$C$1001,"Used",Log!$A$2:$A$1001,"&gt;"&amp;AA108)+SUMIFS(Log!$D$2:$D$1001,Log!$B$2:$B$1001,A108,Log!$C$2:$C$1001,"Adjustment",Log!$A$2:$A$1001,"&gt;"&amp;AA108)))</f>
        <v/>
      </c>
      <c r="D108" s="32">
        <f>IF(A108="","",IF(X108&lt;&gt;"",X108,W108))</f>
        <v/>
      </c>
      <c r="E108" s="33">
        <f>IF(OR(A108="",N(O108)=0),"",C108/O108)</f>
        <v/>
      </c>
      <c r="F108" s="31">
        <f>IF(A108="","",MAX(0,N(T108)-SUMIFS(Log!$D$2:$D$1001,Log!$B$2:$B$1001,A108,Log!$C$2:$C$1001,"Received",Log!$A$2:$A$1001,"&gt;="&amp;N(U108))))</f>
        <v/>
      </c>
      <c r="G108" s="24" t="n"/>
      <c r="H108" s="24" t="n"/>
      <c r="I108" s="24" t="n"/>
      <c r="J108" s="24" t="n"/>
      <c r="K108" s="24" t="n"/>
      <c r="L108" s="34" t="n"/>
      <c r="M108" s="24" t="n"/>
      <c r="N108" s="24" t="n"/>
      <c r="O108" s="35" t="n"/>
      <c r="P108" s="25" t="n"/>
      <c r="Q108" s="36">
        <f>IF(A108="","",IF(P108&lt;&gt;"",P108,IFERROR(IF(N(INDEX(Suppliers!$E$5:$E$24,MATCH(H108,Suppliers!$B$5:$B$24,0)))&gt;0,INDEX(Suppliers!$E$5:$E$24,MATCH(H108,Suppliers!$B$5:$B$24,0)),5),5)))</f>
        <v/>
      </c>
      <c r="R108" s="35" t="n"/>
      <c r="S108" s="37" t="n"/>
      <c r="T108" s="25" t="n"/>
      <c r="U108" s="37" t="n"/>
      <c r="V108" s="37" t="n"/>
      <c r="W108" s="36">
        <f>IF(A108="","",ROUNDUP(N(O108)*(Q108/7+Settings!$C$5),0))</f>
        <v/>
      </c>
      <c r="X108" s="25" t="n"/>
      <c r="Y108" s="25" t="n"/>
      <c r="Z108" s="32">
        <f>IF(A108="","",IF(Y108&lt;&gt;"",Y108,MAX(1,ROUNDUP(N(O108)*Settings!$C$7,0))))</f>
        <v/>
      </c>
      <c r="AA108" s="38">
        <f>IF(A108="","",MAX(N(S108),_xlfn.MAXIFS(Log!$A$2:$A$1001,Log!$B$2:$B$1001,A108,Log!$C$2:$C$1001,"Count")))</f>
        <v/>
      </c>
      <c r="AB108" s="39">
        <f>IF(A108="","",Z108*N(L108))</f>
        <v/>
      </c>
      <c r="AC108" s="40">
        <f>IF(A108="","",N(O108)*52*N(L108))</f>
        <v/>
      </c>
      <c r="AD108" s="39">
        <f>IF(A108="","",C108*N(L108))</f>
        <v/>
      </c>
      <c r="AE108" s="41">
        <f>IF(A108="",0,IF(AND(OR(B108="Order now",B108="Critical"),F108=0),1,0))</f>
        <v/>
      </c>
      <c r="AF108" s="41">
        <f>IF(AE108=1,IFERROR(MATCH(H108,Suppliers!$B$5:$B$24,0),99)*1000+ROW(),"")</f>
        <v/>
      </c>
      <c r="AG108" s="41">
        <f>IF(AF108="","",COUNTIF('Stock list'!$AF$2:$AF$301,"&lt;"&amp;AF108)+1)</f>
        <v/>
      </c>
      <c r="AH108" s="41">
        <f>IF(A108="",0,IF(OR(AA108=0,AND(B108="OK",OR(C108&lt;=D108+N(O108)*Settings!$C$6,Settings!$C$10-AA108&gt;Settings!$C$8*7))),1,0))</f>
        <v/>
      </c>
      <c r="AI108" s="41">
        <f>IF(AH108=0,"",IF(AA108=0,"Never counted",IF(C108&lt;=D108+N(O108)*Settings!$C$6,"Near the reorder point","Not counted for "&amp;INT((Settings!$C$10-AA108)/7)&amp;" weeks")))</f>
        <v/>
      </c>
      <c r="AJ108" s="41">
        <f>IF(AH108=1,IFERROR(MATCH(M108,Settings!$G$19:$G$38,0),99)*1000+ROW(),"")</f>
        <v/>
      </c>
      <c r="AK108" s="41">
        <f>IF(AJ108="","",COUNTIF('Stock list'!$AJ$2:$AJ$301,"&lt;"&amp;AJ108)+1)</f>
        <v/>
      </c>
      <c r="AL108" s="41">
        <f>IF(OR(A108="",N(AC108)=0),"",AC108+ROW()/1000000)</f>
        <v/>
      </c>
    </row>
    <row r="109">
      <c r="A109" s="24" t="n"/>
      <c r="B109" s="30">
        <f>IF(A109="","",IF(AA109=0,"No count",IF(AND(N(O109)&gt;0,C109/O109*7&lt;Q109),"Critical",IF(F109&gt;0,"On order",IF(AND(D109&gt;0,C109&lt;=D109),"Order now","OK")))))</f>
        <v/>
      </c>
      <c r="C109" s="31">
        <f>IF(A109="","",MAX(0,IF(_xlfn.MAXIFS(Log!$A$2:$A$1001,Log!$B$2:$B$1001,A109,Log!$C$2:$C$1001,"Count")&gt;N(S109),_xlfn.MAXIFS(Log!$D$2:$D$1001,Log!$B$2:$B$1001,A109,Log!$C$2:$C$1001,"Count",Log!$A$2:$A$1001,AA109),N(R109))+SUMIFS(Log!$D$2:$D$1001,Log!$B$2:$B$1001,A109,Log!$C$2:$C$1001,"Received",Log!$A$2:$A$1001,"&gt;"&amp;AA109)-SUMIFS(Log!$D$2:$D$1001,Log!$B$2:$B$1001,A109,Log!$C$2:$C$1001,"Used",Log!$A$2:$A$1001,"&gt;"&amp;AA109)+SUMIFS(Log!$D$2:$D$1001,Log!$B$2:$B$1001,A109,Log!$C$2:$C$1001,"Adjustment",Log!$A$2:$A$1001,"&gt;"&amp;AA109)))</f>
        <v/>
      </c>
      <c r="D109" s="32">
        <f>IF(A109="","",IF(X109&lt;&gt;"",X109,W109))</f>
        <v/>
      </c>
      <c r="E109" s="33">
        <f>IF(OR(A109="",N(O109)=0),"",C109/O109)</f>
        <v/>
      </c>
      <c r="F109" s="31">
        <f>IF(A109="","",MAX(0,N(T109)-SUMIFS(Log!$D$2:$D$1001,Log!$B$2:$B$1001,A109,Log!$C$2:$C$1001,"Received",Log!$A$2:$A$1001,"&gt;="&amp;N(U109))))</f>
        <v/>
      </c>
      <c r="G109" s="24" t="n"/>
      <c r="H109" s="24" t="n"/>
      <c r="I109" s="24" t="n"/>
      <c r="J109" s="24" t="n"/>
      <c r="K109" s="24" t="n"/>
      <c r="L109" s="34" t="n"/>
      <c r="M109" s="24" t="n"/>
      <c r="N109" s="24" t="n"/>
      <c r="O109" s="35" t="n"/>
      <c r="P109" s="25" t="n"/>
      <c r="Q109" s="36">
        <f>IF(A109="","",IF(P109&lt;&gt;"",P109,IFERROR(IF(N(INDEX(Suppliers!$E$5:$E$24,MATCH(H109,Suppliers!$B$5:$B$24,0)))&gt;0,INDEX(Suppliers!$E$5:$E$24,MATCH(H109,Suppliers!$B$5:$B$24,0)),5),5)))</f>
        <v/>
      </c>
      <c r="R109" s="35" t="n"/>
      <c r="S109" s="37" t="n"/>
      <c r="T109" s="25" t="n"/>
      <c r="U109" s="37" t="n"/>
      <c r="V109" s="37" t="n"/>
      <c r="W109" s="36">
        <f>IF(A109="","",ROUNDUP(N(O109)*(Q109/7+Settings!$C$5),0))</f>
        <v/>
      </c>
      <c r="X109" s="25" t="n"/>
      <c r="Y109" s="25" t="n"/>
      <c r="Z109" s="32">
        <f>IF(A109="","",IF(Y109&lt;&gt;"",Y109,MAX(1,ROUNDUP(N(O109)*Settings!$C$7,0))))</f>
        <v/>
      </c>
      <c r="AA109" s="38">
        <f>IF(A109="","",MAX(N(S109),_xlfn.MAXIFS(Log!$A$2:$A$1001,Log!$B$2:$B$1001,A109,Log!$C$2:$C$1001,"Count")))</f>
        <v/>
      </c>
      <c r="AB109" s="39">
        <f>IF(A109="","",Z109*N(L109))</f>
        <v/>
      </c>
      <c r="AC109" s="40">
        <f>IF(A109="","",N(O109)*52*N(L109))</f>
        <v/>
      </c>
      <c r="AD109" s="39">
        <f>IF(A109="","",C109*N(L109))</f>
        <v/>
      </c>
      <c r="AE109" s="41">
        <f>IF(A109="",0,IF(AND(OR(B109="Order now",B109="Critical"),F109=0),1,0))</f>
        <v/>
      </c>
      <c r="AF109" s="41">
        <f>IF(AE109=1,IFERROR(MATCH(H109,Suppliers!$B$5:$B$24,0),99)*1000+ROW(),"")</f>
        <v/>
      </c>
      <c r="AG109" s="41">
        <f>IF(AF109="","",COUNTIF('Stock list'!$AF$2:$AF$301,"&lt;"&amp;AF109)+1)</f>
        <v/>
      </c>
      <c r="AH109" s="41">
        <f>IF(A109="",0,IF(OR(AA109=0,AND(B109="OK",OR(C109&lt;=D109+N(O109)*Settings!$C$6,Settings!$C$10-AA109&gt;Settings!$C$8*7))),1,0))</f>
        <v/>
      </c>
      <c r="AI109" s="41">
        <f>IF(AH109=0,"",IF(AA109=0,"Never counted",IF(C109&lt;=D109+N(O109)*Settings!$C$6,"Near the reorder point","Not counted for "&amp;INT((Settings!$C$10-AA109)/7)&amp;" weeks")))</f>
        <v/>
      </c>
      <c r="AJ109" s="41">
        <f>IF(AH109=1,IFERROR(MATCH(M109,Settings!$G$19:$G$38,0),99)*1000+ROW(),"")</f>
        <v/>
      </c>
      <c r="AK109" s="41">
        <f>IF(AJ109="","",COUNTIF('Stock list'!$AJ$2:$AJ$301,"&lt;"&amp;AJ109)+1)</f>
        <v/>
      </c>
      <c r="AL109" s="41">
        <f>IF(OR(A109="",N(AC109)=0),"",AC109+ROW()/1000000)</f>
        <v/>
      </c>
    </row>
    <row r="110">
      <c r="A110" s="24" t="n"/>
      <c r="B110" s="30">
        <f>IF(A110="","",IF(AA110=0,"No count",IF(AND(N(O110)&gt;0,C110/O110*7&lt;Q110),"Critical",IF(F110&gt;0,"On order",IF(AND(D110&gt;0,C110&lt;=D110),"Order now","OK")))))</f>
        <v/>
      </c>
      <c r="C110" s="31">
        <f>IF(A110="","",MAX(0,IF(_xlfn.MAXIFS(Log!$A$2:$A$1001,Log!$B$2:$B$1001,A110,Log!$C$2:$C$1001,"Count")&gt;N(S110),_xlfn.MAXIFS(Log!$D$2:$D$1001,Log!$B$2:$B$1001,A110,Log!$C$2:$C$1001,"Count",Log!$A$2:$A$1001,AA110),N(R110))+SUMIFS(Log!$D$2:$D$1001,Log!$B$2:$B$1001,A110,Log!$C$2:$C$1001,"Received",Log!$A$2:$A$1001,"&gt;"&amp;AA110)-SUMIFS(Log!$D$2:$D$1001,Log!$B$2:$B$1001,A110,Log!$C$2:$C$1001,"Used",Log!$A$2:$A$1001,"&gt;"&amp;AA110)+SUMIFS(Log!$D$2:$D$1001,Log!$B$2:$B$1001,A110,Log!$C$2:$C$1001,"Adjustment",Log!$A$2:$A$1001,"&gt;"&amp;AA110)))</f>
        <v/>
      </c>
      <c r="D110" s="32">
        <f>IF(A110="","",IF(X110&lt;&gt;"",X110,W110))</f>
        <v/>
      </c>
      <c r="E110" s="33">
        <f>IF(OR(A110="",N(O110)=0),"",C110/O110)</f>
        <v/>
      </c>
      <c r="F110" s="31">
        <f>IF(A110="","",MAX(0,N(T110)-SUMIFS(Log!$D$2:$D$1001,Log!$B$2:$B$1001,A110,Log!$C$2:$C$1001,"Received",Log!$A$2:$A$1001,"&gt;="&amp;N(U110))))</f>
        <v/>
      </c>
      <c r="G110" s="24" t="n"/>
      <c r="H110" s="24" t="n"/>
      <c r="I110" s="24" t="n"/>
      <c r="J110" s="24" t="n"/>
      <c r="K110" s="24" t="n"/>
      <c r="L110" s="34" t="n"/>
      <c r="M110" s="24" t="n"/>
      <c r="N110" s="24" t="n"/>
      <c r="O110" s="35" t="n"/>
      <c r="P110" s="25" t="n"/>
      <c r="Q110" s="36">
        <f>IF(A110="","",IF(P110&lt;&gt;"",P110,IFERROR(IF(N(INDEX(Suppliers!$E$5:$E$24,MATCH(H110,Suppliers!$B$5:$B$24,0)))&gt;0,INDEX(Suppliers!$E$5:$E$24,MATCH(H110,Suppliers!$B$5:$B$24,0)),5),5)))</f>
        <v/>
      </c>
      <c r="R110" s="35" t="n"/>
      <c r="S110" s="37" t="n"/>
      <c r="T110" s="25" t="n"/>
      <c r="U110" s="37" t="n"/>
      <c r="V110" s="37" t="n"/>
      <c r="W110" s="36">
        <f>IF(A110="","",ROUNDUP(N(O110)*(Q110/7+Settings!$C$5),0))</f>
        <v/>
      </c>
      <c r="X110" s="25" t="n"/>
      <c r="Y110" s="25" t="n"/>
      <c r="Z110" s="32">
        <f>IF(A110="","",IF(Y110&lt;&gt;"",Y110,MAX(1,ROUNDUP(N(O110)*Settings!$C$7,0))))</f>
        <v/>
      </c>
      <c r="AA110" s="38">
        <f>IF(A110="","",MAX(N(S110),_xlfn.MAXIFS(Log!$A$2:$A$1001,Log!$B$2:$B$1001,A110,Log!$C$2:$C$1001,"Count")))</f>
        <v/>
      </c>
      <c r="AB110" s="39">
        <f>IF(A110="","",Z110*N(L110))</f>
        <v/>
      </c>
      <c r="AC110" s="40">
        <f>IF(A110="","",N(O110)*52*N(L110))</f>
        <v/>
      </c>
      <c r="AD110" s="39">
        <f>IF(A110="","",C110*N(L110))</f>
        <v/>
      </c>
      <c r="AE110" s="41">
        <f>IF(A110="",0,IF(AND(OR(B110="Order now",B110="Critical"),F110=0),1,0))</f>
        <v/>
      </c>
      <c r="AF110" s="41">
        <f>IF(AE110=1,IFERROR(MATCH(H110,Suppliers!$B$5:$B$24,0),99)*1000+ROW(),"")</f>
        <v/>
      </c>
      <c r="AG110" s="41">
        <f>IF(AF110="","",COUNTIF('Stock list'!$AF$2:$AF$301,"&lt;"&amp;AF110)+1)</f>
        <v/>
      </c>
      <c r="AH110" s="41">
        <f>IF(A110="",0,IF(OR(AA110=0,AND(B110="OK",OR(C110&lt;=D110+N(O110)*Settings!$C$6,Settings!$C$10-AA110&gt;Settings!$C$8*7))),1,0))</f>
        <v/>
      </c>
      <c r="AI110" s="41">
        <f>IF(AH110=0,"",IF(AA110=0,"Never counted",IF(C110&lt;=D110+N(O110)*Settings!$C$6,"Near the reorder point","Not counted for "&amp;INT((Settings!$C$10-AA110)/7)&amp;" weeks")))</f>
        <v/>
      </c>
      <c r="AJ110" s="41">
        <f>IF(AH110=1,IFERROR(MATCH(M110,Settings!$G$19:$G$38,0),99)*1000+ROW(),"")</f>
        <v/>
      </c>
      <c r="AK110" s="41">
        <f>IF(AJ110="","",COUNTIF('Stock list'!$AJ$2:$AJ$301,"&lt;"&amp;AJ110)+1)</f>
        <v/>
      </c>
      <c r="AL110" s="41">
        <f>IF(OR(A110="",N(AC110)=0),"",AC110+ROW()/1000000)</f>
        <v/>
      </c>
    </row>
    <row r="111">
      <c r="A111" s="24" t="n"/>
      <c r="B111" s="30">
        <f>IF(A111="","",IF(AA111=0,"No count",IF(AND(N(O111)&gt;0,C111/O111*7&lt;Q111),"Critical",IF(F111&gt;0,"On order",IF(AND(D111&gt;0,C111&lt;=D111),"Order now","OK")))))</f>
        <v/>
      </c>
      <c r="C111" s="31">
        <f>IF(A111="","",MAX(0,IF(_xlfn.MAXIFS(Log!$A$2:$A$1001,Log!$B$2:$B$1001,A111,Log!$C$2:$C$1001,"Count")&gt;N(S111),_xlfn.MAXIFS(Log!$D$2:$D$1001,Log!$B$2:$B$1001,A111,Log!$C$2:$C$1001,"Count",Log!$A$2:$A$1001,AA111),N(R111))+SUMIFS(Log!$D$2:$D$1001,Log!$B$2:$B$1001,A111,Log!$C$2:$C$1001,"Received",Log!$A$2:$A$1001,"&gt;"&amp;AA111)-SUMIFS(Log!$D$2:$D$1001,Log!$B$2:$B$1001,A111,Log!$C$2:$C$1001,"Used",Log!$A$2:$A$1001,"&gt;"&amp;AA111)+SUMIFS(Log!$D$2:$D$1001,Log!$B$2:$B$1001,A111,Log!$C$2:$C$1001,"Adjustment",Log!$A$2:$A$1001,"&gt;"&amp;AA111)))</f>
        <v/>
      </c>
      <c r="D111" s="32">
        <f>IF(A111="","",IF(X111&lt;&gt;"",X111,W111))</f>
        <v/>
      </c>
      <c r="E111" s="33">
        <f>IF(OR(A111="",N(O111)=0),"",C111/O111)</f>
        <v/>
      </c>
      <c r="F111" s="31">
        <f>IF(A111="","",MAX(0,N(T111)-SUMIFS(Log!$D$2:$D$1001,Log!$B$2:$B$1001,A111,Log!$C$2:$C$1001,"Received",Log!$A$2:$A$1001,"&gt;="&amp;N(U111))))</f>
        <v/>
      </c>
      <c r="G111" s="24" t="n"/>
      <c r="H111" s="24" t="n"/>
      <c r="I111" s="24" t="n"/>
      <c r="J111" s="24" t="n"/>
      <c r="K111" s="24" t="n"/>
      <c r="L111" s="34" t="n"/>
      <c r="M111" s="24" t="n"/>
      <c r="N111" s="24" t="n"/>
      <c r="O111" s="35" t="n"/>
      <c r="P111" s="25" t="n"/>
      <c r="Q111" s="36">
        <f>IF(A111="","",IF(P111&lt;&gt;"",P111,IFERROR(IF(N(INDEX(Suppliers!$E$5:$E$24,MATCH(H111,Suppliers!$B$5:$B$24,0)))&gt;0,INDEX(Suppliers!$E$5:$E$24,MATCH(H111,Suppliers!$B$5:$B$24,0)),5),5)))</f>
        <v/>
      </c>
      <c r="R111" s="35" t="n"/>
      <c r="S111" s="37" t="n"/>
      <c r="T111" s="25" t="n"/>
      <c r="U111" s="37" t="n"/>
      <c r="V111" s="37" t="n"/>
      <c r="W111" s="36">
        <f>IF(A111="","",ROUNDUP(N(O111)*(Q111/7+Settings!$C$5),0))</f>
        <v/>
      </c>
      <c r="X111" s="25" t="n"/>
      <c r="Y111" s="25" t="n"/>
      <c r="Z111" s="32">
        <f>IF(A111="","",IF(Y111&lt;&gt;"",Y111,MAX(1,ROUNDUP(N(O111)*Settings!$C$7,0))))</f>
        <v/>
      </c>
      <c r="AA111" s="38">
        <f>IF(A111="","",MAX(N(S111),_xlfn.MAXIFS(Log!$A$2:$A$1001,Log!$B$2:$B$1001,A111,Log!$C$2:$C$1001,"Count")))</f>
        <v/>
      </c>
      <c r="AB111" s="39">
        <f>IF(A111="","",Z111*N(L111))</f>
        <v/>
      </c>
      <c r="AC111" s="40">
        <f>IF(A111="","",N(O111)*52*N(L111))</f>
        <v/>
      </c>
      <c r="AD111" s="39">
        <f>IF(A111="","",C111*N(L111))</f>
        <v/>
      </c>
      <c r="AE111" s="41">
        <f>IF(A111="",0,IF(AND(OR(B111="Order now",B111="Critical"),F111=0),1,0))</f>
        <v/>
      </c>
      <c r="AF111" s="41">
        <f>IF(AE111=1,IFERROR(MATCH(H111,Suppliers!$B$5:$B$24,0),99)*1000+ROW(),"")</f>
        <v/>
      </c>
      <c r="AG111" s="41">
        <f>IF(AF111="","",COUNTIF('Stock list'!$AF$2:$AF$301,"&lt;"&amp;AF111)+1)</f>
        <v/>
      </c>
      <c r="AH111" s="41">
        <f>IF(A111="",0,IF(OR(AA111=0,AND(B111="OK",OR(C111&lt;=D111+N(O111)*Settings!$C$6,Settings!$C$10-AA111&gt;Settings!$C$8*7))),1,0))</f>
        <v/>
      </c>
      <c r="AI111" s="41">
        <f>IF(AH111=0,"",IF(AA111=0,"Never counted",IF(C111&lt;=D111+N(O111)*Settings!$C$6,"Near the reorder point","Not counted for "&amp;INT((Settings!$C$10-AA111)/7)&amp;" weeks")))</f>
        <v/>
      </c>
      <c r="AJ111" s="41">
        <f>IF(AH111=1,IFERROR(MATCH(M111,Settings!$G$19:$G$38,0),99)*1000+ROW(),"")</f>
        <v/>
      </c>
      <c r="AK111" s="41">
        <f>IF(AJ111="","",COUNTIF('Stock list'!$AJ$2:$AJ$301,"&lt;"&amp;AJ111)+1)</f>
        <v/>
      </c>
      <c r="AL111" s="41">
        <f>IF(OR(A111="",N(AC111)=0),"",AC111+ROW()/1000000)</f>
        <v/>
      </c>
    </row>
    <row r="112">
      <c r="A112" s="24" t="n"/>
      <c r="B112" s="30">
        <f>IF(A112="","",IF(AA112=0,"No count",IF(AND(N(O112)&gt;0,C112/O112*7&lt;Q112),"Critical",IF(F112&gt;0,"On order",IF(AND(D112&gt;0,C112&lt;=D112),"Order now","OK")))))</f>
        <v/>
      </c>
      <c r="C112" s="31">
        <f>IF(A112="","",MAX(0,IF(_xlfn.MAXIFS(Log!$A$2:$A$1001,Log!$B$2:$B$1001,A112,Log!$C$2:$C$1001,"Count")&gt;N(S112),_xlfn.MAXIFS(Log!$D$2:$D$1001,Log!$B$2:$B$1001,A112,Log!$C$2:$C$1001,"Count",Log!$A$2:$A$1001,AA112),N(R112))+SUMIFS(Log!$D$2:$D$1001,Log!$B$2:$B$1001,A112,Log!$C$2:$C$1001,"Received",Log!$A$2:$A$1001,"&gt;"&amp;AA112)-SUMIFS(Log!$D$2:$D$1001,Log!$B$2:$B$1001,A112,Log!$C$2:$C$1001,"Used",Log!$A$2:$A$1001,"&gt;"&amp;AA112)+SUMIFS(Log!$D$2:$D$1001,Log!$B$2:$B$1001,A112,Log!$C$2:$C$1001,"Adjustment",Log!$A$2:$A$1001,"&gt;"&amp;AA112)))</f>
        <v/>
      </c>
      <c r="D112" s="32">
        <f>IF(A112="","",IF(X112&lt;&gt;"",X112,W112))</f>
        <v/>
      </c>
      <c r="E112" s="33">
        <f>IF(OR(A112="",N(O112)=0),"",C112/O112)</f>
        <v/>
      </c>
      <c r="F112" s="31">
        <f>IF(A112="","",MAX(0,N(T112)-SUMIFS(Log!$D$2:$D$1001,Log!$B$2:$B$1001,A112,Log!$C$2:$C$1001,"Received",Log!$A$2:$A$1001,"&gt;="&amp;N(U112))))</f>
        <v/>
      </c>
      <c r="G112" s="24" t="n"/>
      <c r="H112" s="24" t="n"/>
      <c r="I112" s="24" t="n"/>
      <c r="J112" s="24" t="n"/>
      <c r="K112" s="24" t="n"/>
      <c r="L112" s="34" t="n"/>
      <c r="M112" s="24" t="n"/>
      <c r="N112" s="24" t="n"/>
      <c r="O112" s="35" t="n"/>
      <c r="P112" s="25" t="n"/>
      <c r="Q112" s="36">
        <f>IF(A112="","",IF(P112&lt;&gt;"",P112,IFERROR(IF(N(INDEX(Suppliers!$E$5:$E$24,MATCH(H112,Suppliers!$B$5:$B$24,0)))&gt;0,INDEX(Suppliers!$E$5:$E$24,MATCH(H112,Suppliers!$B$5:$B$24,0)),5),5)))</f>
        <v/>
      </c>
      <c r="R112" s="35" t="n"/>
      <c r="S112" s="37" t="n"/>
      <c r="T112" s="25" t="n"/>
      <c r="U112" s="37" t="n"/>
      <c r="V112" s="37" t="n"/>
      <c r="W112" s="36">
        <f>IF(A112="","",ROUNDUP(N(O112)*(Q112/7+Settings!$C$5),0))</f>
        <v/>
      </c>
      <c r="X112" s="25" t="n"/>
      <c r="Y112" s="25" t="n"/>
      <c r="Z112" s="32">
        <f>IF(A112="","",IF(Y112&lt;&gt;"",Y112,MAX(1,ROUNDUP(N(O112)*Settings!$C$7,0))))</f>
        <v/>
      </c>
      <c r="AA112" s="38">
        <f>IF(A112="","",MAX(N(S112),_xlfn.MAXIFS(Log!$A$2:$A$1001,Log!$B$2:$B$1001,A112,Log!$C$2:$C$1001,"Count")))</f>
        <v/>
      </c>
      <c r="AB112" s="39">
        <f>IF(A112="","",Z112*N(L112))</f>
        <v/>
      </c>
      <c r="AC112" s="40">
        <f>IF(A112="","",N(O112)*52*N(L112))</f>
        <v/>
      </c>
      <c r="AD112" s="39">
        <f>IF(A112="","",C112*N(L112))</f>
        <v/>
      </c>
      <c r="AE112" s="41">
        <f>IF(A112="",0,IF(AND(OR(B112="Order now",B112="Critical"),F112=0),1,0))</f>
        <v/>
      </c>
      <c r="AF112" s="41">
        <f>IF(AE112=1,IFERROR(MATCH(H112,Suppliers!$B$5:$B$24,0),99)*1000+ROW(),"")</f>
        <v/>
      </c>
      <c r="AG112" s="41">
        <f>IF(AF112="","",COUNTIF('Stock list'!$AF$2:$AF$301,"&lt;"&amp;AF112)+1)</f>
        <v/>
      </c>
      <c r="AH112" s="41">
        <f>IF(A112="",0,IF(OR(AA112=0,AND(B112="OK",OR(C112&lt;=D112+N(O112)*Settings!$C$6,Settings!$C$10-AA112&gt;Settings!$C$8*7))),1,0))</f>
        <v/>
      </c>
      <c r="AI112" s="41">
        <f>IF(AH112=0,"",IF(AA112=0,"Never counted",IF(C112&lt;=D112+N(O112)*Settings!$C$6,"Near the reorder point","Not counted for "&amp;INT((Settings!$C$10-AA112)/7)&amp;" weeks")))</f>
        <v/>
      </c>
      <c r="AJ112" s="41">
        <f>IF(AH112=1,IFERROR(MATCH(M112,Settings!$G$19:$G$38,0),99)*1000+ROW(),"")</f>
        <v/>
      </c>
      <c r="AK112" s="41">
        <f>IF(AJ112="","",COUNTIF('Stock list'!$AJ$2:$AJ$301,"&lt;"&amp;AJ112)+1)</f>
        <v/>
      </c>
      <c r="AL112" s="41">
        <f>IF(OR(A112="",N(AC112)=0),"",AC112+ROW()/1000000)</f>
        <v/>
      </c>
    </row>
    <row r="113">
      <c r="A113" s="24" t="n"/>
      <c r="B113" s="30">
        <f>IF(A113="","",IF(AA113=0,"No count",IF(AND(N(O113)&gt;0,C113/O113*7&lt;Q113),"Critical",IF(F113&gt;0,"On order",IF(AND(D113&gt;0,C113&lt;=D113),"Order now","OK")))))</f>
        <v/>
      </c>
      <c r="C113" s="31">
        <f>IF(A113="","",MAX(0,IF(_xlfn.MAXIFS(Log!$A$2:$A$1001,Log!$B$2:$B$1001,A113,Log!$C$2:$C$1001,"Count")&gt;N(S113),_xlfn.MAXIFS(Log!$D$2:$D$1001,Log!$B$2:$B$1001,A113,Log!$C$2:$C$1001,"Count",Log!$A$2:$A$1001,AA113),N(R113))+SUMIFS(Log!$D$2:$D$1001,Log!$B$2:$B$1001,A113,Log!$C$2:$C$1001,"Received",Log!$A$2:$A$1001,"&gt;"&amp;AA113)-SUMIFS(Log!$D$2:$D$1001,Log!$B$2:$B$1001,A113,Log!$C$2:$C$1001,"Used",Log!$A$2:$A$1001,"&gt;"&amp;AA113)+SUMIFS(Log!$D$2:$D$1001,Log!$B$2:$B$1001,A113,Log!$C$2:$C$1001,"Adjustment",Log!$A$2:$A$1001,"&gt;"&amp;AA113)))</f>
        <v/>
      </c>
      <c r="D113" s="32">
        <f>IF(A113="","",IF(X113&lt;&gt;"",X113,W113))</f>
        <v/>
      </c>
      <c r="E113" s="33">
        <f>IF(OR(A113="",N(O113)=0),"",C113/O113)</f>
        <v/>
      </c>
      <c r="F113" s="31">
        <f>IF(A113="","",MAX(0,N(T113)-SUMIFS(Log!$D$2:$D$1001,Log!$B$2:$B$1001,A113,Log!$C$2:$C$1001,"Received",Log!$A$2:$A$1001,"&gt;="&amp;N(U113))))</f>
        <v/>
      </c>
      <c r="G113" s="24" t="n"/>
      <c r="H113" s="24" t="n"/>
      <c r="I113" s="24" t="n"/>
      <c r="J113" s="24" t="n"/>
      <c r="K113" s="24" t="n"/>
      <c r="L113" s="34" t="n"/>
      <c r="M113" s="24" t="n"/>
      <c r="N113" s="24" t="n"/>
      <c r="O113" s="35" t="n"/>
      <c r="P113" s="25" t="n"/>
      <c r="Q113" s="36">
        <f>IF(A113="","",IF(P113&lt;&gt;"",P113,IFERROR(IF(N(INDEX(Suppliers!$E$5:$E$24,MATCH(H113,Suppliers!$B$5:$B$24,0)))&gt;0,INDEX(Suppliers!$E$5:$E$24,MATCH(H113,Suppliers!$B$5:$B$24,0)),5),5)))</f>
        <v/>
      </c>
      <c r="R113" s="35" t="n"/>
      <c r="S113" s="37" t="n"/>
      <c r="T113" s="25" t="n"/>
      <c r="U113" s="37" t="n"/>
      <c r="V113" s="37" t="n"/>
      <c r="W113" s="36">
        <f>IF(A113="","",ROUNDUP(N(O113)*(Q113/7+Settings!$C$5),0))</f>
        <v/>
      </c>
      <c r="X113" s="25" t="n"/>
      <c r="Y113" s="25" t="n"/>
      <c r="Z113" s="32">
        <f>IF(A113="","",IF(Y113&lt;&gt;"",Y113,MAX(1,ROUNDUP(N(O113)*Settings!$C$7,0))))</f>
        <v/>
      </c>
      <c r="AA113" s="38">
        <f>IF(A113="","",MAX(N(S113),_xlfn.MAXIFS(Log!$A$2:$A$1001,Log!$B$2:$B$1001,A113,Log!$C$2:$C$1001,"Count")))</f>
        <v/>
      </c>
      <c r="AB113" s="39">
        <f>IF(A113="","",Z113*N(L113))</f>
        <v/>
      </c>
      <c r="AC113" s="40">
        <f>IF(A113="","",N(O113)*52*N(L113))</f>
        <v/>
      </c>
      <c r="AD113" s="39">
        <f>IF(A113="","",C113*N(L113))</f>
        <v/>
      </c>
      <c r="AE113" s="41">
        <f>IF(A113="",0,IF(AND(OR(B113="Order now",B113="Critical"),F113=0),1,0))</f>
        <v/>
      </c>
      <c r="AF113" s="41">
        <f>IF(AE113=1,IFERROR(MATCH(H113,Suppliers!$B$5:$B$24,0),99)*1000+ROW(),"")</f>
        <v/>
      </c>
      <c r="AG113" s="41">
        <f>IF(AF113="","",COUNTIF('Stock list'!$AF$2:$AF$301,"&lt;"&amp;AF113)+1)</f>
        <v/>
      </c>
      <c r="AH113" s="41">
        <f>IF(A113="",0,IF(OR(AA113=0,AND(B113="OK",OR(C113&lt;=D113+N(O113)*Settings!$C$6,Settings!$C$10-AA113&gt;Settings!$C$8*7))),1,0))</f>
        <v/>
      </c>
      <c r="AI113" s="41">
        <f>IF(AH113=0,"",IF(AA113=0,"Never counted",IF(C113&lt;=D113+N(O113)*Settings!$C$6,"Near the reorder point","Not counted for "&amp;INT((Settings!$C$10-AA113)/7)&amp;" weeks")))</f>
        <v/>
      </c>
      <c r="AJ113" s="41">
        <f>IF(AH113=1,IFERROR(MATCH(M113,Settings!$G$19:$G$38,0),99)*1000+ROW(),"")</f>
        <v/>
      </c>
      <c r="AK113" s="41">
        <f>IF(AJ113="","",COUNTIF('Stock list'!$AJ$2:$AJ$301,"&lt;"&amp;AJ113)+1)</f>
        <v/>
      </c>
      <c r="AL113" s="41">
        <f>IF(OR(A113="",N(AC113)=0),"",AC113+ROW()/1000000)</f>
        <v/>
      </c>
    </row>
    <row r="114">
      <c r="A114" s="24" t="n"/>
      <c r="B114" s="30">
        <f>IF(A114="","",IF(AA114=0,"No count",IF(AND(N(O114)&gt;0,C114/O114*7&lt;Q114),"Critical",IF(F114&gt;0,"On order",IF(AND(D114&gt;0,C114&lt;=D114),"Order now","OK")))))</f>
        <v/>
      </c>
      <c r="C114" s="31">
        <f>IF(A114="","",MAX(0,IF(_xlfn.MAXIFS(Log!$A$2:$A$1001,Log!$B$2:$B$1001,A114,Log!$C$2:$C$1001,"Count")&gt;N(S114),_xlfn.MAXIFS(Log!$D$2:$D$1001,Log!$B$2:$B$1001,A114,Log!$C$2:$C$1001,"Count",Log!$A$2:$A$1001,AA114),N(R114))+SUMIFS(Log!$D$2:$D$1001,Log!$B$2:$B$1001,A114,Log!$C$2:$C$1001,"Received",Log!$A$2:$A$1001,"&gt;"&amp;AA114)-SUMIFS(Log!$D$2:$D$1001,Log!$B$2:$B$1001,A114,Log!$C$2:$C$1001,"Used",Log!$A$2:$A$1001,"&gt;"&amp;AA114)+SUMIFS(Log!$D$2:$D$1001,Log!$B$2:$B$1001,A114,Log!$C$2:$C$1001,"Adjustment",Log!$A$2:$A$1001,"&gt;"&amp;AA114)))</f>
        <v/>
      </c>
      <c r="D114" s="32">
        <f>IF(A114="","",IF(X114&lt;&gt;"",X114,W114))</f>
        <v/>
      </c>
      <c r="E114" s="33">
        <f>IF(OR(A114="",N(O114)=0),"",C114/O114)</f>
        <v/>
      </c>
      <c r="F114" s="31">
        <f>IF(A114="","",MAX(0,N(T114)-SUMIFS(Log!$D$2:$D$1001,Log!$B$2:$B$1001,A114,Log!$C$2:$C$1001,"Received",Log!$A$2:$A$1001,"&gt;="&amp;N(U114))))</f>
        <v/>
      </c>
      <c r="G114" s="24" t="n"/>
      <c r="H114" s="24" t="n"/>
      <c r="I114" s="24" t="n"/>
      <c r="J114" s="24" t="n"/>
      <c r="K114" s="24" t="n"/>
      <c r="L114" s="34" t="n"/>
      <c r="M114" s="24" t="n"/>
      <c r="N114" s="24" t="n"/>
      <c r="O114" s="35" t="n"/>
      <c r="P114" s="25" t="n"/>
      <c r="Q114" s="36">
        <f>IF(A114="","",IF(P114&lt;&gt;"",P114,IFERROR(IF(N(INDEX(Suppliers!$E$5:$E$24,MATCH(H114,Suppliers!$B$5:$B$24,0)))&gt;0,INDEX(Suppliers!$E$5:$E$24,MATCH(H114,Suppliers!$B$5:$B$24,0)),5),5)))</f>
        <v/>
      </c>
      <c r="R114" s="35" t="n"/>
      <c r="S114" s="37" t="n"/>
      <c r="T114" s="25" t="n"/>
      <c r="U114" s="37" t="n"/>
      <c r="V114" s="37" t="n"/>
      <c r="W114" s="36">
        <f>IF(A114="","",ROUNDUP(N(O114)*(Q114/7+Settings!$C$5),0))</f>
        <v/>
      </c>
      <c r="X114" s="25" t="n"/>
      <c r="Y114" s="25" t="n"/>
      <c r="Z114" s="32">
        <f>IF(A114="","",IF(Y114&lt;&gt;"",Y114,MAX(1,ROUNDUP(N(O114)*Settings!$C$7,0))))</f>
        <v/>
      </c>
      <c r="AA114" s="38">
        <f>IF(A114="","",MAX(N(S114),_xlfn.MAXIFS(Log!$A$2:$A$1001,Log!$B$2:$B$1001,A114,Log!$C$2:$C$1001,"Count")))</f>
        <v/>
      </c>
      <c r="AB114" s="39">
        <f>IF(A114="","",Z114*N(L114))</f>
        <v/>
      </c>
      <c r="AC114" s="40">
        <f>IF(A114="","",N(O114)*52*N(L114))</f>
        <v/>
      </c>
      <c r="AD114" s="39">
        <f>IF(A114="","",C114*N(L114))</f>
        <v/>
      </c>
      <c r="AE114" s="41">
        <f>IF(A114="",0,IF(AND(OR(B114="Order now",B114="Critical"),F114=0),1,0))</f>
        <v/>
      </c>
      <c r="AF114" s="41">
        <f>IF(AE114=1,IFERROR(MATCH(H114,Suppliers!$B$5:$B$24,0),99)*1000+ROW(),"")</f>
        <v/>
      </c>
      <c r="AG114" s="41">
        <f>IF(AF114="","",COUNTIF('Stock list'!$AF$2:$AF$301,"&lt;"&amp;AF114)+1)</f>
        <v/>
      </c>
      <c r="AH114" s="41">
        <f>IF(A114="",0,IF(OR(AA114=0,AND(B114="OK",OR(C114&lt;=D114+N(O114)*Settings!$C$6,Settings!$C$10-AA114&gt;Settings!$C$8*7))),1,0))</f>
        <v/>
      </c>
      <c r="AI114" s="41">
        <f>IF(AH114=0,"",IF(AA114=0,"Never counted",IF(C114&lt;=D114+N(O114)*Settings!$C$6,"Near the reorder point","Not counted for "&amp;INT((Settings!$C$10-AA114)/7)&amp;" weeks")))</f>
        <v/>
      </c>
      <c r="AJ114" s="41">
        <f>IF(AH114=1,IFERROR(MATCH(M114,Settings!$G$19:$G$38,0),99)*1000+ROW(),"")</f>
        <v/>
      </c>
      <c r="AK114" s="41">
        <f>IF(AJ114="","",COUNTIF('Stock list'!$AJ$2:$AJ$301,"&lt;"&amp;AJ114)+1)</f>
        <v/>
      </c>
      <c r="AL114" s="41">
        <f>IF(OR(A114="",N(AC114)=0),"",AC114+ROW()/1000000)</f>
        <v/>
      </c>
    </row>
    <row r="115">
      <c r="A115" s="24" t="n"/>
      <c r="B115" s="30">
        <f>IF(A115="","",IF(AA115=0,"No count",IF(AND(N(O115)&gt;0,C115/O115*7&lt;Q115),"Critical",IF(F115&gt;0,"On order",IF(AND(D115&gt;0,C115&lt;=D115),"Order now","OK")))))</f>
        <v/>
      </c>
      <c r="C115" s="31">
        <f>IF(A115="","",MAX(0,IF(_xlfn.MAXIFS(Log!$A$2:$A$1001,Log!$B$2:$B$1001,A115,Log!$C$2:$C$1001,"Count")&gt;N(S115),_xlfn.MAXIFS(Log!$D$2:$D$1001,Log!$B$2:$B$1001,A115,Log!$C$2:$C$1001,"Count",Log!$A$2:$A$1001,AA115),N(R115))+SUMIFS(Log!$D$2:$D$1001,Log!$B$2:$B$1001,A115,Log!$C$2:$C$1001,"Received",Log!$A$2:$A$1001,"&gt;"&amp;AA115)-SUMIFS(Log!$D$2:$D$1001,Log!$B$2:$B$1001,A115,Log!$C$2:$C$1001,"Used",Log!$A$2:$A$1001,"&gt;"&amp;AA115)+SUMIFS(Log!$D$2:$D$1001,Log!$B$2:$B$1001,A115,Log!$C$2:$C$1001,"Adjustment",Log!$A$2:$A$1001,"&gt;"&amp;AA115)))</f>
        <v/>
      </c>
      <c r="D115" s="32">
        <f>IF(A115="","",IF(X115&lt;&gt;"",X115,W115))</f>
        <v/>
      </c>
      <c r="E115" s="33">
        <f>IF(OR(A115="",N(O115)=0),"",C115/O115)</f>
        <v/>
      </c>
      <c r="F115" s="31">
        <f>IF(A115="","",MAX(0,N(T115)-SUMIFS(Log!$D$2:$D$1001,Log!$B$2:$B$1001,A115,Log!$C$2:$C$1001,"Received",Log!$A$2:$A$1001,"&gt;="&amp;N(U115))))</f>
        <v/>
      </c>
      <c r="G115" s="24" t="n"/>
      <c r="H115" s="24" t="n"/>
      <c r="I115" s="24" t="n"/>
      <c r="J115" s="24" t="n"/>
      <c r="K115" s="24" t="n"/>
      <c r="L115" s="34" t="n"/>
      <c r="M115" s="24" t="n"/>
      <c r="N115" s="24" t="n"/>
      <c r="O115" s="35" t="n"/>
      <c r="P115" s="25" t="n"/>
      <c r="Q115" s="36">
        <f>IF(A115="","",IF(P115&lt;&gt;"",P115,IFERROR(IF(N(INDEX(Suppliers!$E$5:$E$24,MATCH(H115,Suppliers!$B$5:$B$24,0)))&gt;0,INDEX(Suppliers!$E$5:$E$24,MATCH(H115,Suppliers!$B$5:$B$24,0)),5),5)))</f>
        <v/>
      </c>
      <c r="R115" s="35" t="n"/>
      <c r="S115" s="37" t="n"/>
      <c r="T115" s="25" t="n"/>
      <c r="U115" s="37" t="n"/>
      <c r="V115" s="37" t="n"/>
      <c r="W115" s="36">
        <f>IF(A115="","",ROUNDUP(N(O115)*(Q115/7+Settings!$C$5),0))</f>
        <v/>
      </c>
      <c r="X115" s="25" t="n"/>
      <c r="Y115" s="25" t="n"/>
      <c r="Z115" s="32">
        <f>IF(A115="","",IF(Y115&lt;&gt;"",Y115,MAX(1,ROUNDUP(N(O115)*Settings!$C$7,0))))</f>
        <v/>
      </c>
      <c r="AA115" s="38">
        <f>IF(A115="","",MAX(N(S115),_xlfn.MAXIFS(Log!$A$2:$A$1001,Log!$B$2:$B$1001,A115,Log!$C$2:$C$1001,"Count")))</f>
        <v/>
      </c>
      <c r="AB115" s="39">
        <f>IF(A115="","",Z115*N(L115))</f>
        <v/>
      </c>
      <c r="AC115" s="40">
        <f>IF(A115="","",N(O115)*52*N(L115))</f>
        <v/>
      </c>
      <c r="AD115" s="39">
        <f>IF(A115="","",C115*N(L115))</f>
        <v/>
      </c>
      <c r="AE115" s="41">
        <f>IF(A115="",0,IF(AND(OR(B115="Order now",B115="Critical"),F115=0),1,0))</f>
        <v/>
      </c>
      <c r="AF115" s="41">
        <f>IF(AE115=1,IFERROR(MATCH(H115,Suppliers!$B$5:$B$24,0),99)*1000+ROW(),"")</f>
        <v/>
      </c>
      <c r="AG115" s="41">
        <f>IF(AF115="","",COUNTIF('Stock list'!$AF$2:$AF$301,"&lt;"&amp;AF115)+1)</f>
        <v/>
      </c>
      <c r="AH115" s="41">
        <f>IF(A115="",0,IF(OR(AA115=0,AND(B115="OK",OR(C115&lt;=D115+N(O115)*Settings!$C$6,Settings!$C$10-AA115&gt;Settings!$C$8*7))),1,0))</f>
        <v/>
      </c>
      <c r="AI115" s="41">
        <f>IF(AH115=0,"",IF(AA115=0,"Never counted",IF(C115&lt;=D115+N(O115)*Settings!$C$6,"Near the reorder point","Not counted for "&amp;INT((Settings!$C$10-AA115)/7)&amp;" weeks")))</f>
        <v/>
      </c>
      <c r="AJ115" s="41">
        <f>IF(AH115=1,IFERROR(MATCH(M115,Settings!$G$19:$G$38,0),99)*1000+ROW(),"")</f>
        <v/>
      </c>
      <c r="AK115" s="41">
        <f>IF(AJ115="","",COUNTIF('Stock list'!$AJ$2:$AJ$301,"&lt;"&amp;AJ115)+1)</f>
        <v/>
      </c>
      <c r="AL115" s="41">
        <f>IF(OR(A115="",N(AC115)=0),"",AC115+ROW()/1000000)</f>
        <v/>
      </c>
    </row>
    <row r="116">
      <c r="A116" s="24" t="n"/>
      <c r="B116" s="30">
        <f>IF(A116="","",IF(AA116=0,"No count",IF(AND(N(O116)&gt;0,C116/O116*7&lt;Q116),"Critical",IF(F116&gt;0,"On order",IF(AND(D116&gt;0,C116&lt;=D116),"Order now","OK")))))</f>
        <v/>
      </c>
      <c r="C116" s="31">
        <f>IF(A116="","",MAX(0,IF(_xlfn.MAXIFS(Log!$A$2:$A$1001,Log!$B$2:$B$1001,A116,Log!$C$2:$C$1001,"Count")&gt;N(S116),_xlfn.MAXIFS(Log!$D$2:$D$1001,Log!$B$2:$B$1001,A116,Log!$C$2:$C$1001,"Count",Log!$A$2:$A$1001,AA116),N(R116))+SUMIFS(Log!$D$2:$D$1001,Log!$B$2:$B$1001,A116,Log!$C$2:$C$1001,"Received",Log!$A$2:$A$1001,"&gt;"&amp;AA116)-SUMIFS(Log!$D$2:$D$1001,Log!$B$2:$B$1001,A116,Log!$C$2:$C$1001,"Used",Log!$A$2:$A$1001,"&gt;"&amp;AA116)+SUMIFS(Log!$D$2:$D$1001,Log!$B$2:$B$1001,A116,Log!$C$2:$C$1001,"Adjustment",Log!$A$2:$A$1001,"&gt;"&amp;AA116)))</f>
        <v/>
      </c>
      <c r="D116" s="32">
        <f>IF(A116="","",IF(X116&lt;&gt;"",X116,W116))</f>
        <v/>
      </c>
      <c r="E116" s="33">
        <f>IF(OR(A116="",N(O116)=0),"",C116/O116)</f>
        <v/>
      </c>
      <c r="F116" s="31">
        <f>IF(A116="","",MAX(0,N(T116)-SUMIFS(Log!$D$2:$D$1001,Log!$B$2:$B$1001,A116,Log!$C$2:$C$1001,"Received",Log!$A$2:$A$1001,"&gt;="&amp;N(U116))))</f>
        <v/>
      </c>
      <c r="G116" s="24" t="n"/>
      <c r="H116" s="24" t="n"/>
      <c r="I116" s="24" t="n"/>
      <c r="J116" s="24" t="n"/>
      <c r="K116" s="24" t="n"/>
      <c r="L116" s="34" t="n"/>
      <c r="M116" s="24" t="n"/>
      <c r="N116" s="24" t="n"/>
      <c r="O116" s="35" t="n"/>
      <c r="P116" s="25" t="n"/>
      <c r="Q116" s="36">
        <f>IF(A116="","",IF(P116&lt;&gt;"",P116,IFERROR(IF(N(INDEX(Suppliers!$E$5:$E$24,MATCH(H116,Suppliers!$B$5:$B$24,0)))&gt;0,INDEX(Suppliers!$E$5:$E$24,MATCH(H116,Suppliers!$B$5:$B$24,0)),5),5)))</f>
        <v/>
      </c>
      <c r="R116" s="35" t="n"/>
      <c r="S116" s="37" t="n"/>
      <c r="T116" s="25" t="n"/>
      <c r="U116" s="37" t="n"/>
      <c r="V116" s="37" t="n"/>
      <c r="W116" s="36">
        <f>IF(A116="","",ROUNDUP(N(O116)*(Q116/7+Settings!$C$5),0))</f>
        <v/>
      </c>
      <c r="X116" s="25" t="n"/>
      <c r="Y116" s="25" t="n"/>
      <c r="Z116" s="32">
        <f>IF(A116="","",IF(Y116&lt;&gt;"",Y116,MAX(1,ROUNDUP(N(O116)*Settings!$C$7,0))))</f>
        <v/>
      </c>
      <c r="AA116" s="38">
        <f>IF(A116="","",MAX(N(S116),_xlfn.MAXIFS(Log!$A$2:$A$1001,Log!$B$2:$B$1001,A116,Log!$C$2:$C$1001,"Count")))</f>
        <v/>
      </c>
      <c r="AB116" s="39">
        <f>IF(A116="","",Z116*N(L116))</f>
        <v/>
      </c>
      <c r="AC116" s="40">
        <f>IF(A116="","",N(O116)*52*N(L116))</f>
        <v/>
      </c>
      <c r="AD116" s="39">
        <f>IF(A116="","",C116*N(L116))</f>
        <v/>
      </c>
      <c r="AE116" s="41">
        <f>IF(A116="",0,IF(AND(OR(B116="Order now",B116="Critical"),F116=0),1,0))</f>
        <v/>
      </c>
      <c r="AF116" s="41">
        <f>IF(AE116=1,IFERROR(MATCH(H116,Suppliers!$B$5:$B$24,0),99)*1000+ROW(),"")</f>
        <v/>
      </c>
      <c r="AG116" s="41">
        <f>IF(AF116="","",COUNTIF('Stock list'!$AF$2:$AF$301,"&lt;"&amp;AF116)+1)</f>
        <v/>
      </c>
      <c r="AH116" s="41">
        <f>IF(A116="",0,IF(OR(AA116=0,AND(B116="OK",OR(C116&lt;=D116+N(O116)*Settings!$C$6,Settings!$C$10-AA116&gt;Settings!$C$8*7))),1,0))</f>
        <v/>
      </c>
      <c r="AI116" s="41">
        <f>IF(AH116=0,"",IF(AA116=0,"Never counted",IF(C116&lt;=D116+N(O116)*Settings!$C$6,"Near the reorder point","Not counted for "&amp;INT((Settings!$C$10-AA116)/7)&amp;" weeks")))</f>
        <v/>
      </c>
      <c r="AJ116" s="41">
        <f>IF(AH116=1,IFERROR(MATCH(M116,Settings!$G$19:$G$38,0),99)*1000+ROW(),"")</f>
        <v/>
      </c>
      <c r="AK116" s="41">
        <f>IF(AJ116="","",COUNTIF('Stock list'!$AJ$2:$AJ$301,"&lt;"&amp;AJ116)+1)</f>
        <v/>
      </c>
      <c r="AL116" s="41">
        <f>IF(OR(A116="",N(AC116)=0),"",AC116+ROW()/1000000)</f>
        <v/>
      </c>
    </row>
    <row r="117">
      <c r="A117" s="24" t="n"/>
      <c r="B117" s="30">
        <f>IF(A117="","",IF(AA117=0,"No count",IF(AND(N(O117)&gt;0,C117/O117*7&lt;Q117),"Critical",IF(F117&gt;0,"On order",IF(AND(D117&gt;0,C117&lt;=D117),"Order now","OK")))))</f>
        <v/>
      </c>
      <c r="C117" s="31">
        <f>IF(A117="","",MAX(0,IF(_xlfn.MAXIFS(Log!$A$2:$A$1001,Log!$B$2:$B$1001,A117,Log!$C$2:$C$1001,"Count")&gt;N(S117),_xlfn.MAXIFS(Log!$D$2:$D$1001,Log!$B$2:$B$1001,A117,Log!$C$2:$C$1001,"Count",Log!$A$2:$A$1001,AA117),N(R117))+SUMIFS(Log!$D$2:$D$1001,Log!$B$2:$B$1001,A117,Log!$C$2:$C$1001,"Received",Log!$A$2:$A$1001,"&gt;"&amp;AA117)-SUMIFS(Log!$D$2:$D$1001,Log!$B$2:$B$1001,A117,Log!$C$2:$C$1001,"Used",Log!$A$2:$A$1001,"&gt;"&amp;AA117)+SUMIFS(Log!$D$2:$D$1001,Log!$B$2:$B$1001,A117,Log!$C$2:$C$1001,"Adjustment",Log!$A$2:$A$1001,"&gt;"&amp;AA117)))</f>
        <v/>
      </c>
      <c r="D117" s="32">
        <f>IF(A117="","",IF(X117&lt;&gt;"",X117,W117))</f>
        <v/>
      </c>
      <c r="E117" s="33">
        <f>IF(OR(A117="",N(O117)=0),"",C117/O117)</f>
        <v/>
      </c>
      <c r="F117" s="31">
        <f>IF(A117="","",MAX(0,N(T117)-SUMIFS(Log!$D$2:$D$1001,Log!$B$2:$B$1001,A117,Log!$C$2:$C$1001,"Received",Log!$A$2:$A$1001,"&gt;="&amp;N(U117))))</f>
        <v/>
      </c>
      <c r="G117" s="24" t="n"/>
      <c r="H117" s="24" t="n"/>
      <c r="I117" s="24" t="n"/>
      <c r="J117" s="24" t="n"/>
      <c r="K117" s="24" t="n"/>
      <c r="L117" s="34" t="n"/>
      <c r="M117" s="24" t="n"/>
      <c r="N117" s="24" t="n"/>
      <c r="O117" s="35" t="n"/>
      <c r="P117" s="25" t="n"/>
      <c r="Q117" s="36">
        <f>IF(A117="","",IF(P117&lt;&gt;"",P117,IFERROR(IF(N(INDEX(Suppliers!$E$5:$E$24,MATCH(H117,Suppliers!$B$5:$B$24,0)))&gt;0,INDEX(Suppliers!$E$5:$E$24,MATCH(H117,Suppliers!$B$5:$B$24,0)),5),5)))</f>
        <v/>
      </c>
      <c r="R117" s="35" t="n"/>
      <c r="S117" s="37" t="n"/>
      <c r="T117" s="25" t="n"/>
      <c r="U117" s="37" t="n"/>
      <c r="V117" s="37" t="n"/>
      <c r="W117" s="36">
        <f>IF(A117="","",ROUNDUP(N(O117)*(Q117/7+Settings!$C$5),0))</f>
        <v/>
      </c>
      <c r="X117" s="25" t="n"/>
      <c r="Y117" s="25" t="n"/>
      <c r="Z117" s="32">
        <f>IF(A117="","",IF(Y117&lt;&gt;"",Y117,MAX(1,ROUNDUP(N(O117)*Settings!$C$7,0))))</f>
        <v/>
      </c>
      <c r="AA117" s="38">
        <f>IF(A117="","",MAX(N(S117),_xlfn.MAXIFS(Log!$A$2:$A$1001,Log!$B$2:$B$1001,A117,Log!$C$2:$C$1001,"Count")))</f>
        <v/>
      </c>
      <c r="AB117" s="39">
        <f>IF(A117="","",Z117*N(L117))</f>
        <v/>
      </c>
      <c r="AC117" s="40">
        <f>IF(A117="","",N(O117)*52*N(L117))</f>
        <v/>
      </c>
      <c r="AD117" s="39">
        <f>IF(A117="","",C117*N(L117))</f>
        <v/>
      </c>
      <c r="AE117" s="41">
        <f>IF(A117="",0,IF(AND(OR(B117="Order now",B117="Critical"),F117=0),1,0))</f>
        <v/>
      </c>
      <c r="AF117" s="41">
        <f>IF(AE117=1,IFERROR(MATCH(H117,Suppliers!$B$5:$B$24,0),99)*1000+ROW(),"")</f>
        <v/>
      </c>
      <c r="AG117" s="41">
        <f>IF(AF117="","",COUNTIF('Stock list'!$AF$2:$AF$301,"&lt;"&amp;AF117)+1)</f>
        <v/>
      </c>
      <c r="AH117" s="41">
        <f>IF(A117="",0,IF(OR(AA117=0,AND(B117="OK",OR(C117&lt;=D117+N(O117)*Settings!$C$6,Settings!$C$10-AA117&gt;Settings!$C$8*7))),1,0))</f>
        <v/>
      </c>
      <c r="AI117" s="41">
        <f>IF(AH117=0,"",IF(AA117=0,"Never counted",IF(C117&lt;=D117+N(O117)*Settings!$C$6,"Near the reorder point","Not counted for "&amp;INT((Settings!$C$10-AA117)/7)&amp;" weeks")))</f>
        <v/>
      </c>
      <c r="AJ117" s="41">
        <f>IF(AH117=1,IFERROR(MATCH(M117,Settings!$G$19:$G$38,0),99)*1000+ROW(),"")</f>
        <v/>
      </c>
      <c r="AK117" s="41">
        <f>IF(AJ117="","",COUNTIF('Stock list'!$AJ$2:$AJ$301,"&lt;"&amp;AJ117)+1)</f>
        <v/>
      </c>
      <c r="AL117" s="41">
        <f>IF(OR(A117="",N(AC117)=0),"",AC117+ROW()/1000000)</f>
        <v/>
      </c>
    </row>
    <row r="118">
      <c r="A118" s="24" t="n"/>
      <c r="B118" s="30">
        <f>IF(A118="","",IF(AA118=0,"No count",IF(AND(N(O118)&gt;0,C118/O118*7&lt;Q118),"Critical",IF(F118&gt;0,"On order",IF(AND(D118&gt;0,C118&lt;=D118),"Order now","OK")))))</f>
        <v/>
      </c>
      <c r="C118" s="31">
        <f>IF(A118="","",MAX(0,IF(_xlfn.MAXIFS(Log!$A$2:$A$1001,Log!$B$2:$B$1001,A118,Log!$C$2:$C$1001,"Count")&gt;N(S118),_xlfn.MAXIFS(Log!$D$2:$D$1001,Log!$B$2:$B$1001,A118,Log!$C$2:$C$1001,"Count",Log!$A$2:$A$1001,AA118),N(R118))+SUMIFS(Log!$D$2:$D$1001,Log!$B$2:$B$1001,A118,Log!$C$2:$C$1001,"Received",Log!$A$2:$A$1001,"&gt;"&amp;AA118)-SUMIFS(Log!$D$2:$D$1001,Log!$B$2:$B$1001,A118,Log!$C$2:$C$1001,"Used",Log!$A$2:$A$1001,"&gt;"&amp;AA118)+SUMIFS(Log!$D$2:$D$1001,Log!$B$2:$B$1001,A118,Log!$C$2:$C$1001,"Adjustment",Log!$A$2:$A$1001,"&gt;"&amp;AA118)))</f>
        <v/>
      </c>
      <c r="D118" s="32">
        <f>IF(A118="","",IF(X118&lt;&gt;"",X118,W118))</f>
        <v/>
      </c>
      <c r="E118" s="33">
        <f>IF(OR(A118="",N(O118)=0),"",C118/O118)</f>
        <v/>
      </c>
      <c r="F118" s="31">
        <f>IF(A118="","",MAX(0,N(T118)-SUMIFS(Log!$D$2:$D$1001,Log!$B$2:$B$1001,A118,Log!$C$2:$C$1001,"Received",Log!$A$2:$A$1001,"&gt;="&amp;N(U118))))</f>
        <v/>
      </c>
      <c r="G118" s="24" t="n"/>
      <c r="H118" s="24" t="n"/>
      <c r="I118" s="24" t="n"/>
      <c r="J118" s="24" t="n"/>
      <c r="K118" s="24" t="n"/>
      <c r="L118" s="34" t="n"/>
      <c r="M118" s="24" t="n"/>
      <c r="N118" s="24" t="n"/>
      <c r="O118" s="35" t="n"/>
      <c r="P118" s="25" t="n"/>
      <c r="Q118" s="36">
        <f>IF(A118="","",IF(P118&lt;&gt;"",P118,IFERROR(IF(N(INDEX(Suppliers!$E$5:$E$24,MATCH(H118,Suppliers!$B$5:$B$24,0)))&gt;0,INDEX(Suppliers!$E$5:$E$24,MATCH(H118,Suppliers!$B$5:$B$24,0)),5),5)))</f>
        <v/>
      </c>
      <c r="R118" s="35" t="n"/>
      <c r="S118" s="37" t="n"/>
      <c r="T118" s="25" t="n"/>
      <c r="U118" s="37" t="n"/>
      <c r="V118" s="37" t="n"/>
      <c r="W118" s="36">
        <f>IF(A118="","",ROUNDUP(N(O118)*(Q118/7+Settings!$C$5),0))</f>
        <v/>
      </c>
      <c r="X118" s="25" t="n"/>
      <c r="Y118" s="25" t="n"/>
      <c r="Z118" s="32">
        <f>IF(A118="","",IF(Y118&lt;&gt;"",Y118,MAX(1,ROUNDUP(N(O118)*Settings!$C$7,0))))</f>
        <v/>
      </c>
      <c r="AA118" s="38">
        <f>IF(A118="","",MAX(N(S118),_xlfn.MAXIFS(Log!$A$2:$A$1001,Log!$B$2:$B$1001,A118,Log!$C$2:$C$1001,"Count")))</f>
        <v/>
      </c>
      <c r="AB118" s="39">
        <f>IF(A118="","",Z118*N(L118))</f>
        <v/>
      </c>
      <c r="AC118" s="40">
        <f>IF(A118="","",N(O118)*52*N(L118))</f>
        <v/>
      </c>
      <c r="AD118" s="39">
        <f>IF(A118="","",C118*N(L118))</f>
        <v/>
      </c>
      <c r="AE118" s="41">
        <f>IF(A118="",0,IF(AND(OR(B118="Order now",B118="Critical"),F118=0),1,0))</f>
        <v/>
      </c>
      <c r="AF118" s="41">
        <f>IF(AE118=1,IFERROR(MATCH(H118,Suppliers!$B$5:$B$24,0),99)*1000+ROW(),"")</f>
        <v/>
      </c>
      <c r="AG118" s="41">
        <f>IF(AF118="","",COUNTIF('Stock list'!$AF$2:$AF$301,"&lt;"&amp;AF118)+1)</f>
        <v/>
      </c>
      <c r="AH118" s="41">
        <f>IF(A118="",0,IF(OR(AA118=0,AND(B118="OK",OR(C118&lt;=D118+N(O118)*Settings!$C$6,Settings!$C$10-AA118&gt;Settings!$C$8*7))),1,0))</f>
        <v/>
      </c>
      <c r="AI118" s="41">
        <f>IF(AH118=0,"",IF(AA118=0,"Never counted",IF(C118&lt;=D118+N(O118)*Settings!$C$6,"Near the reorder point","Not counted for "&amp;INT((Settings!$C$10-AA118)/7)&amp;" weeks")))</f>
        <v/>
      </c>
      <c r="AJ118" s="41">
        <f>IF(AH118=1,IFERROR(MATCH(M118,Settings!$G$19:$G$38,0),99)*1000+ROW(),"")</f>
        <v/>
      </c>
      <c r="AK118" s="41">
        <f>IF(AJ118="","",COUNTIF('Stock list'!$AJ$2:$AJ$301,"&lt;"&amp;AJ118)+1)</f>
        <v/>
      </c>
      <c r="AL118" s="41">
        <f>IF(OR(A118="",N(AC118)=0),"",AC118+ROW()/1000000)</f>
        <v/>
      </c>
    </row>
    <row r="119">
      <c r="A119" s="24" t="n"/>
      <c r="B119" s="30">
        <f>IF(A119="","",IF(AA119=0,"No count",IF(AND(N(O119)&gt;0,C119/O119*7&lt;Q119),"Critical",IF(F119&gt;0,"On order",IF(AND(D119&gt;0,C119&lt;=D119),"Order now","OK")))))</f>
        <v/>
      </c>
      <c r="C119" s="31">
        <f>IF(A119="","",MAX(0,IF(_xlfn.MAXIFS(Log!$A$2:$A$1001,Log!$B$2:$B$1001,A119,Log!$C$2:$C$1001,"Count")&gt;N(S119),_xlfn.MAXIFS(Log!$D$2:$D$1001,Log!$B$2:$B$1001,A119,Log!$C$2:$C$1001,"Count",Log!$A$2:$A$1001,AA119),N(R119))+SUMIFS(Log!$D$2:$D$1001,Log!$B$2:$B$1001,A119,Log!$C$2:$C$1001,"Received",Log!$A$2:$A$1001,"&gt;"&amp;AA119)-SUMIFS(Log!$D$2:$D$1001,Log!$B$2:$B$1001,A119,Log!$C$2:$C$1001,"Used",Log!$A$2:$A$1001,"&gt;"&amp;AA119)+SUMIFS(Log!$D$2:$D$1001,Log!$B$2:$B$1001,A119,Log!$C$2:$C$1001,"Adjustment",Log!$A$2:$A$1001,"&gt;"&amp;AA119)))</f>
        <v/>
      </c>
      <c r="D119" s="32">
        <f>IF(A119="","",IF(X119&lt;&gt;"",X119,W119))</f>
        <v/>
      </c>
      <c r="E119" s="33">
        <f>IF(OR(A119="",N(O119)=0),"",C119/O119)</f>
        <v/>
      </c>
      <c r="F119" s="31">
        <f>IF(A119="","",MAX(0,N(T119)-SUMIFS(Log!$D$2:$D$1001,Log!$B$2:$B$1001,A119,Log!$C$2:$C$1001,"Received",Log!$A$2:$A$1001,"&gt;="&amp;N(U119))))</f>
        <v/>
      </c>
      <c r="G119" s="24" t="n"/>
      <c r="H119" s="24" t="n"/>
      <c r="I119" s="24" t="n"/>
      <c r="J119" s="24" t="n"/>
      <c r="K119" s="24" t="n"/>
      <c r="L119" s="34" t="n"/>
      <c r="M119" s="24" t="n"/>
      <c r="N119" s="24" t="n"/>
      <c r="O119" s="35" t="n"/>
      <c r="P119" s="25" t="n"/>
      <c r="Q119" s="36">
        <f>IF(A119="","",IF(P119&lt;&gt;"",P119,IFERROR(IF(N(INDEX(Suppliers!$E$5:$E$24,MATCH(H119,Suppliers!$B$5:$B$24,0)))&gt;0,INDEX(Suppliers!$E$5:$E$24,MATCH(H119,Suppliers!$B$5:$B$24,0)),5),5)))</f>
        <v/>
      </c>
      <c r="R119" s="35" t="n"/>
      <c r="S119" s="37" t="n"/>
      <c r="T119" s="25" t="n"/>
      <c r="U119" s="37" t="n"/>
      <c r="V119" s="37" t="n"/>
      <c r="W119" s="36">
        <f>IF(A119="","",ROUNDUP(N(O119)*(Q119/7+Settings!$C$5),0))</f>
        <v/>
      </c>
      <c r="X119" s="25" t="n"/>
      <c r="Y119" s="25" t="n"/>
      <c r="Z119" s="32">
        <f>IF(A119="","",IF(Y119&lt;&gt;"",Y119,MAX(1,ROUNDUP(N(O119)*Settings!$C$7,0))))</f>
        <v/>
      </c>
      <c r="AA119" s="38">
        <f>IF(A119="","",MAX(N(S119),_xlfn.MAXIFS(Log!$A$2:$A$1001,Log!$B$2:$B$1001,A119,Log!$C$2:$C$1001,"Count")))</f>
        <v/>
      </c>
      <c r="AB119" s="39">
        <f>IF(A119="","",Z119*N(L119))</f>
        <v/>
      </c>
      <c r="AC119" s="40">
        <f>IF(A119="","",N(O119)*52*N(L119))</f>
        <v/>
      </c>
      <c r="AD119" s="39">
        <f>IF(A119="","",C119*N(L119))</f>
        <v/>
      </c>
      <c r="AE119" s="41">
        <f>IF(A119="",0,IF(AND(OR(B119="Order now",B119="Critical"),F119=0),1,0))</f>
        <v/>
      </c>
      <c r="AF119" s="41">
        <f>IF(AE119=1,IFERROR(MATCH(H119,Suppliers!$B$5:$B$24,0),99)*1000+ROW(),"")</f>
        <v/>
      </c>
      <c r="AG119" s="41">
        <f>IF(AF119="","",COUNTIF('Stock list'!$AF$2:$AF$301,"&lt;"&amp;AF119)+1)</f>
        <v/>
      </c>
      <c r="AH119" s="41">
        <f>IF(A119="",0,IF(OR(AA119=0,AND(B119="OK",OR(C119&lt;=D119+N(O119)*Settings!$C$6,Settings!$C$10-AA119&gt;Settings!$C$8*7))),1,0))</f>
        <v/>
      </c>
      <c r="AI119" s="41">
        <f>IF(AH119=0,"",IF(AA119=0,"Never counted",IF(C119&lt;=D119+N(O119)*Settings!$C$6,"Near the reorder point","Not counted for "&amp;INT((Settings!$C$10-AA119)/7)&amp;" weeks")))</f>
        <v/>
      </c>
      <c r="AJ119" s="41">
        <f>IF(AH119=1,IFERROR(MATCH(M119,Settings!$G$19:$G$38,0),99)*1000+ROW(),"")</f>
        <v/>
      </c>
      <c r="AK119" s="41">
        <f>IF(AJ119="","",COUNTIF('Stock list'!$AJ$2:$AJ$301,"&lt;"&amp;AJ119)+1)</f>
        <v/>
      </c>
      <c r="AL119" s="41">
        <f>IF(OR(A119="",N(AC119)=0),"",AC119+ROW()/1000000)</f>
        <v/>
      </c>
    </row>
    <row r="120">
      <c r="A120" s="24" t="n"/>
      <c r="B120" s="30">
        <f>IF(A120="","",IF(AA120=0,"No count",IF(AND(N(O120)&gt;0,C120/O120*7&lt;Q120),"Critical",IF(F120&gt;0,"On order",IF(AND(D120&gt;0,C120&lt;=D120),"Order now","OK")))))</f>
        <v/>
      </c>
      <c r="C120" s="31">
        <f>IF(A120="","",MAX(0,IF(_xlfn.MAXIFS(Log!$A$2:$A$1001,Log!$B$2:$B$1001,A120,Log!$C$2:$C$1001,"Count")&gt;N(S120),_xlfn.MAXIFS(Log!$D$2:$D$1001,Log!$B$2:$B$1001,A120,Log!$C$2:$C$1001,"Count",Log!$A$2:$A$1001,AA120),N(R120))+SUMIFS(Log!$D$2:$D$1001,Log!$B$2:$B$1001,A120,Log!$C$2:$C$1001,"Received",Log!$A$2:$A$1001,"&gt;"&amp;AA120)-SUMIFS(Log!$D$2:$D$1001,Log!$B$2:$B$1001,A120,Log!$C$2:$C$1001,"Used",Log!$A$2:$A$1001,"&gt;"&amp;AA120)+SUMIFS(Log!$D$2:$D$1001,Log!$B$2:$B$1001,A120,Log!$C$2:$C$1001,"Adjustment",Log!$A$2:$A$1001,"&gt;"&amp;AA120)))</f>
        <v/>
      </c>
      <c r="D120" s="32">
        <f>IF(A120="","",IF(X120&lt;&gt;"",X120,W120))</f>
        <v/>
      </c>
      <c r="E120" s="33">
        <f>IF(OR(A120="",N(O120)=0),"",C120/O120)</f>
        <v/>
      </c>
      <c r="F120" s="31">
        <f>IF(A120="","",MAX(0,N(T120)-SUMIFS(Log!$D$2:$D$1001,Log!$B$2:$B$1001,A120,Log!$C$2:$C$1001,"Received",Log!$A$2:$A$1001,"&gt;="&amp;N(U120))))</f>
        <v/>
      </c>
      <c r="G120" s="24" t="n"/>
      <c r="H120" s="24" t="n"/>
      <c r="I120" s="24" t="n"/>
      <c r="J120" s="24" t="n"/>
      <c r="K120" s="24" t="n"/>
      <c r="L120" s="34" t="n"/>
      <c r="M120" s="24" t="n"/>
      <c r="N120" s="24" t="n"/>
      <c r="O120" s="35" t="n"/>
      <c r="P120" s="25" t="n"/>
      <c r="Q120" s="36">
        <f>IF(A120="","",IF(P120&lt;&gt;"",P120,IFERROR(IF(N(INDEX(Suppliers!$E$5:$E$24,MATCH(H120,Suppliers!$B$5:$B$24,0)))&gt;0,INDEX(Suppliers!$E$5:$E$24,MATCH(H120,Suppliers!$B$5:$B$24,0)),5),5)))</f>
        <v/>
      </c>
      <c r="R120" s="35" t="n"/>
      <c r="S120" s="37" t="n"/>
      <c r="T120" s="25" t="n"/>
      <c r="U120" s="37" t="n"/>
      <c r="V120" s="37" t="n"/>
      <c r="W120" s="36">
        <f>IF(A120="","",ROUNDUP(N(O120)*(Q120/7+Settings!$C$5),0))</f>
        <v/>
      </c>
      <c r="X120" s="25" t="n"/>
      <c r="Y120" s="25" t="n"/>
      <c r="Z120" s="32">
        <f>IF(A120="","",IF(Y120&lt;&gt;"",Y120,MAX(1,ROUNDUP(N(O120)*Settings!$C$7,0))))</f>
        <v/>
      </c>
      <c r="AA120" s="38">
        <f>IF(A120="","",MAX(N(S120),_xlfn.MAXIFS(Log!$A$2:$A$1001,Log!$B$2:$B$1001,A120,Log!$C$2:$C$1001,"Count")))</f>
        <v/>
      </c>
      <c r="AB120" s="39">
        <f>IF(A120="","",Z120*N(L120))</f>
        <v/>
      </c>
      <c r="AC120" s="40">
        <f>IF(A120="","",N(O120)*52*N(L120))</f>
        <v/>
      </c>
      <c r="AD120" s="39">
        <f>IF(A120="","",C120*N(L120))</f>
        <v/>
      </c>
      <c r="AE120" s="41">
        <f>IF(A120="",0,IF(AND(OR(B120="Order now",B120="Critical"),F120=0),1,0))</f>
        <v/>
      </c>
      <c r="AF120" s="41">
        <f>IF(AE120=1,IFERROR(MATCH(H120,Suppliers!$B$5:$B$24,0),99)*1000+ROW(),"")</f>
        <v/>
      </c>
      <c r="AG120" s="41">
        <f>IF(AF120="","",COUNTIF('Stock list'!$AF$2:$AF$301,"&lt;"&amp;AF120)+1)</f>
        <v/>
      </c>
      <c r="AH120" s="41">
        <f>IF(A120="",0,IF(OR(AA120=0,AND(B120="OK",OR(C120&lt;=D120+N(O120)*Settings!$C$6,Settings!$C$10-AA120&gt;Settings!$C$8*7))),1,0))</f>
        <v/>
      </c>
      <c r="AI120" s="41">
        <f>IF(AH120=0,"",IF(AA120=0,"Never counted",IF(C120&lt;=D120+N(O120)*Settings!$C$6,"Near the reorder point","Not counted for "&amp;INT((Settings!$C$10-AA120)/7)&amp;" weeks")))</f>
        <v/>
      </c>
      <c r="AJ120" s="41">
        <f>IF(AH120=1,IFERROR(MATCH(M120,Settings!$G$19:$G$38,0),99)*1000+ROW(),"")</f>
        <v/>
      </c>
      <c r="AK120" s="41">
        <f>IF(AJ120="","",COUNTIF('Stock list'!$AJ$2:$AJ$301,"&lt;"&amp;AJ120)+1)</f>
        <v/>
      </c>
      <c r="AL120" s="41">
        <f>IF(OR(A120="",N(AC120)=0),"",AC120+ROW()/1000000)</f>
        <v/>
      </c>
    </row>
    <row r="121">
      <c r="A121" s="24" t="n"/>
      <c r="B121" s="30">
        <f>IF(A121="","",IF(AA121=0,"No count",IF(AND(N(O121)&gt;0,C121/O121*7&lt;Q121),"Critical",IF(F121&gt;0,"On order",IF(AND(D121&gt;0,C121&lt;=D121),"Order now","OK")))))</f>
        <v/>
      </c>
      <c r="C121" s="31">
        <f>IF(A121="","",MAX(0,IF(_xlfn.MAXIFS(Log!$A$2:$A$1001,Log!$B$2:$B$1001,A121,Log!$C$2:$C$1001,"Count")&gt;N(S121),_xlfn.MAXIFS(Log!$D$2:$D$1001,Log!$B$2:$B$1001,A121,Log!$C$2:$C$1001,"Count",Log!$A$2:$A$1001,AA121),N(R121))+SUMIFS(Log!$D$2:$D$1001,Log!$B$2:$B$1001,A121,Log!$C$2:$C$1001,"Received",Log!$A$2:$A$1001,"&gt;"&amp;AA121)-SUMIFS(Log!$D$2:$D$1001,Log!$B$2:$B$1001,A121,Log!$C$2:$C$1001,"Used",Log!$A$2:$A$1001,"&gt;"&amp;AA121)+SUMIFS(Log!$D$2:$D$1001,Log!$B$2:$B$1001,A121,Log!$C$2:$C$1001,"Adjustment",Log!$A$2:$A$1001,"&gt;"&amp;AA121)))</f>
        <v/>
      </c>
      <c r="D121" s="32">
        <f>IF(A121="","",IF(X121&lt;&gt;"",X121,W121))</f>
        <v/>
      </c>
      <c r="E121" s="33">
        <f>IF(OR(A121="",N(O121)=0),"",C121/O121)</f>
        <v/>
      </c>
      <c r="F121" s="31">
        <f>IF(A121="","",MAX(0,N(T121)-SUMIFS(Log!$D$2:$D$1001,Log!$B$2:$B$1001,A121,Log!$C$2:$C$1001,"Received",Log!$A$2:$A$1001,"&gt;="&amp;N(U121))))</f>
        <v/>
      </c>
      <c r="G121" s="24" t="n"/>
      <c r="H121" s="24" t="n"/>
      <c r="I121" s="24" t="n"/>
      <c r="J121" s="24" t="n"/>
      <c r="K121" s="24" t="n"/>
      <c r="L121" s="34" t="n"/>
      <c r="M121" s="24" t="n"/>
      <c r="N121" s="24" t="n"/>
      <c r="O121" s="35" t="n"/>
      <c r="P121" s="25" t="n"/>
      <c r="Q121" s="36">
        <f>IF(A121="","",IF(P121&lt;&gt;"",P121,IFERROR(IF(N(INDEX(Suppliers!$E$5:$E$24,MATCH(H121,Suppliers!$B$5:$B$24,0)))&gt;0,INDEX(Suppliers!$E$5:$E$24,MATCH(H121,Suppliers!$B$5:$B$24,0)),5),5)))</f>
        <v/>
      </c>
      <c r="R121" s="35" t="n"/>
      <c r="S121" s="37" t="n"/>
      <c r="T121" s="25" t="n"/>
      <c r="U121" s="37" t="n"/>
      <c r="V121" s="37" t="n"/>
      <c r="W121" s="36">
        <f>IF(A121="","",ROUNDUP(N(O121)*(Q121/7+Settings!$C$5),0))</f>
        <v/>
      </c>
      <c r="X121" s="25" t="n"/>
      <c r="Y121" s="25" t="n"/>
      <c r="Z121" s="32">
        <f>IF(A121="","",IF(Y121&lt;&gt;"",Y121,MAX(1,ROUNDUP(N(O121)*Settings!$C$7,0))))</f>
        <v/>
      </c>
      <c r="AA121" s="38">
        <f>IF(A121="","",MAX(N(S121),_xlfn.MAXIFS(Log!$A$2:$A$1001,Log!$B$2:$B$1001,A121,Log!$C$2:$C$1001,"Count")))</f>
        <v/>
      </c>
      <c r="AB121" s="39">
        <f>IF(A121="","",Z121*N(L121))</f>
        <v/>
      </c>
      <c r="AC121" s="40">
        <f>IF(A121="","",N(O121)*52*N(L121))</f>
        <v/>
      </c>
      <c r="AD121" s="39">
        <f>IF(A121="","",C121*N(L121))</f>
        <v/>
      </c>
      <c r="AE121" s="41">
        <f>IF(A121="",0,IF(AND(OR(B121="Order now",B121="Critical"),F121=0),1,0))</f>
        <v/>
      </c>
      <c r="AF121" s="41">
        <f>IF(AE121=1,IFERROR(MATCH(H121,Suppliers!$B$5:$B$24,0),99)*1000+ROW(),"")</f>
        <v/>
      </c>
      <c r="AG121" s="41">
        <f>IF(AF121="","",COUNTIF('Stock list'!$AF$2:$AF$301,"&lt;"&amp;AF121)+1)</f>
        <v/>
      </c>
      <c r="AH121" s="41">
        <f>IF(A121="",0,IF(OR(AA121=0,AND(B121="OK",OR(C121&lt;=D121+N(O121)*Settings!$C$6,Settings!$C$10-AA121&gt;Settings!$C$8*7))),1,0))</f>
        <v/>
      </c>
      <c r="AI121" s="41">
        <f>IF(AH121=0,"",IF(AA121=0,"Never counted",IF(C121&lt;=D121+N(O121)*Settings!$C$6,"Near the reorder point","Not counted for "&amp;INT((Settings!$C$10-AA121)/7)&amp;" weeks")))</f>
        <v/>
      </c>
      <c r="AJ121" s="41">
        <f>IF(AH121=1,IFERROR(MATCH(M121,Settings!$G$19:$G$38,0),99)*1000+ROW(),"")</f>
        <v/>
      </c>
      <c r="AK121" s="41">
        <f>IF(AJ121="","",COUNTIF('Stock list'!$AJ$2:$AJ$301,"&lt;"&amp;AJ121)+1)</f>
        <v/>
      </c>
      <c r="AL121" s="41">
        <f>IF(OR(A121="",N(AC121)=0),"",AC121+ROW()/1000000)</f>
        <v/>
      </c>
    </row>
    <row r="122">
      <c r="A122" s="24" t="n"/>
      <c r="B122" s="30">
        <f>IF(A122="","",IF(AA122=0,"No count",IF(AND(N(O122)&gt;0,C122/O122*7&lt;Q122),"Critical",IF(F122&gt;0,"On order",IF(AND(D122&gt;0,C122&lt;=D122),"Order now","OK")))))</f>
        <v/>
      </c>
      <c r="C122" s="31">
        <f>IF(A122="","",MAX(0,IF(_xlfn.MAXIFS(Log!$A$2:$A$1001,Log!$B$2:$B$1001,A122,Log!$C$2:$C$1001,"Count")&gt;N(S122),_xlfn.MAXIFS(Log!$D$2:$D$1001,Log!$B$2:$B$1001,A122,Log!$C$2:$C$1001,"Count",Log!$A$2:$A$1001,AA122),N(R122))+SUMIFS(Log!$D$2:$D$1001,Log!$B$2:$B$1001,A122,Log!$C$2:$C$1001,"Received",Log!$A$2:$A$1001,"&gt;"&amp;AA122)-SUMIFS(Log!$D$2:$D$1001,Log!$B$2:$B$1001,A122,Log!$C$2:$C$1001,"Used",Log!$A$2:$A$1001,"&gt;"&amp;AA122)+SUMIFS(Log!$D$2:$D$1001,Log!$B$2:$B$1001,A122,Log!$C$2:$C$1001,"Adjustment",Log!$A$2:$A$1001,"&gt;"&amp;AA122)))</f>
        <v/>
      </c>
      <c r="D122" s="32">
        <f>IF(A122="","",IF(X122&lt;&gt;"",X122,W122))</f>
        <v/>
      </c>
      <c r="E122" s="33">
        <f>IF(OR(A122="",N(O122)=0),"",C122/O122)</f>
        <v/>
      </c>
      <c r="F122" s="31">
        <f>IF(A122="","",MAX(0,N(T122)-SUMIFS(Log!$D$2:$D$1001,Log!$B$2:$B$1001,A122,Log!$C$2:$C$1001,"Received",Log!$A$2:$A$1001,"&gt;="&amp;N(U122))))</f>
        <v/>
      </c>
      <c r="G122" s="24" t="n"/>
      <c r="H122" s="24" t="n"/>
      <c r="I122" s="24" t="n"/>
      <c r="J122" s="24" t="n"/>
      <c r="K122" s="24" t="n"/>
      <c r="L122" s="34" t="n"/>
      <c r="M122" s="24" t="n"/>
      <c r="N122" s="24" t="n"/>
      <c r="O122" s="35" t="n"/>
      <c r="P122" s="25" t="n"/>
      <c r="Q122" s="36">
        <f>IF(A122="","",IF(P122&lt;&gt;"",P122,IFERROR(IF(N(INDEX(Suppliers!$E$5:$E$24,MATCH(H122,Suppliers!$B$5:$B$24,0)))&gt;0,INDEX(Suppliers!$E$5:$E$24,MATCH(H122,Suppliers!$B$5:$B$24,0)),5),5)))</f>
        <v/>
      </c>
      <c r="R122" s="35" t="n"/>
      <c r="S122" s="37" t="n"/>
      <c r="T122" s="25" t="n"/>
      <c r="U122" s="37" t="n"/>
      <c r="V122" s="37" t="n"/>
      <c r="W122" s="36">
        <f>IF(A122="","",ROUNDUP(N(O122)*(Q122/7+Settings!$C$5),0))</f>
        <v/>
      </c>
      <c r="X122" s="25" t="n"/>
      <c r="Y122" s="25" t="n"/>
      <c r="Z122" s="32">
        <f>IF(A122="","",IF(Y122&lt;&gt;"",Y122,MAX(1,ROUNDUP(N(O122)*Settings!$C$7,0))))</f>
        <v/>
      </c>
      <c r="AA122" s="38">
        <f>IF(A122="","",MAX(N(S122),_xlfn.MAXIFS(Log!$A$2:$A$1001,Log!$B$2:$B$1001,A122,Log!$C$2:$C$1001,"Count")))</f>
        <v/>
      </c>
      <c r="AB122" s="39">
        <f>IF(A122="","",Z122*N(L122))</f>
        <v/>
      </c>
      <c r="AC122" s="40">
        <f>IF(A122="","",N(O122)*52*N(L122))</f>
        <v/>
      </c>
      <c r="AD122" s="39">
        <f>IF(A122="","",C122*N(L122))</f>
        <v/>
      </c>
      <c r="AE122" s="41">
        <f>IF(A122="",0,IF(AND(OR(B122="Order now",B122="Critical"),F122=0),1,0))</f>
        <v/>
      </c>
      <c r="AF122" s="41">
        <f>IF(AE122=1,IFERROR(MATCH(H122,Suppliers!$B$5:$B$24,0),99)*1000+ROW(),"")</f>
        <v/>
      </c>
      <c r="AG122" s="41">
        <f>IF(AF122="","",COUNTIF('Stock list'!$AF$2:$AF$301,"&lt;"&amp;AF122)+1)</f>
        <v/>
      </c>
      <c r="AH122" s="41">
        <f>IF(A122="",0,IF(OR(AA122=0,AND(B122="OK",OR(C122&lt;=D122+N(O122)*Settings!$C$6,Settings!$C$10-AA122&gt;Settings!$C$8*7))),1,0))</f>
        <v/>
      </c>
      <c r="AI122" s="41">
        <f>IF(AH122=0,"",IF(AA122=0,"Never counted",IF(C122&lt;=D122+N(O122)*Settings!$C$6,"Near the reorder point","Not counted for "&amp;INT((Settings!$C$10-AA122)/7)&amp;" weeks")))</f>
        <v/>
      </c>
      <c r="AJ122" s="41">
        <f>IF(AH122=1,IFERROR(MATCH(M122,Settings!$G$19:$G$38,0),99)*1000+ROW(),"")</f>
        <v/>
      </c>
      <c r="AK122" s="41">
        <f>IF(AJ122="","",COUNTIF('Stock list'!$AJ$2:$AJ$301,"&lt;"&amp;AJ122)+1)</f>
        <v/>
      </c>
      <c r="AL122" s="41">
        <f>IF(OR(A122="",N(AC122)=0),"",AC122+ROW()/1000000)</f>
        <v/>
      </c>
    </row>
    <row r="123">
      <c r="A123" s="24" t="n"/>
      <c r="B123" s="30">
        <f>IF(A123="","",IF(AA123=0,"No count",IF(AND(N(O123)&gt;0,C123/O123*7&lt;Q123),"Critical",IF(F123&gt;0,"On order",IF(AND(D123&gt;0,C123&lt;=D123),"Order now","OK")))))</f>
        <v/>
      </c>
      <c r="C123" s="31">
        <f>IF(A123="","",MAX(0,IF(_xlfn.MAXIFS(Log!$A$2:$A$1001,Log!$B$2:$B$1001,A123,Log!$C$2:$C$1001,"Count")&gt;N(S123),_xlfn.MAXIFS(Log!$D$2:$D$1001,Log!$B$2:$B$1001,A123,Log!$C$2:$C$1001,"Count",Log!$A$2:$A$1001,AA123),N(R123))+SUMIFS(Log!$D$2:$D$1001,Log!$B$2:$B$1001,A123,Log!$C$2:$C$1001,"Received",Log!$A$2:$A$1001,"&gt;"&amp;AA123)-SUMIFS(Log!$D$2:$D$1001,Log!$B$2:$B$1001,A123,Log!$C$2:$C$1001,"Used",Log!$A$2:$A$1001,"&gt;"&amp;AA123)+SUMIFS(Log!$D$2:$D$1001,Log!$B$2:$B$1001,A123,Log!$C$2:$C$1001,"Adjustment",Log!$A$2:$A$1001,"&gt;"&amp;AA123)))</f>
        <v/>
      </c>
      <c r="D123" s="32">
        <f>IF(A123="","",IF(X123&lt;&gt;"",X123,W123))</f>
        <v/>
      </c>
      <c r="E123" s="33">
        <f>IF(OR(A123="",N(O123)=0),"",C123/O123)</f>
        <v/>
      </c>
      <c r="F123" s="31">
        <f>IF(A123="","",MAX(0,N(T123)-SUMIFS(Log!$D$2:$D$1001,Log!$B$2:$B$1001,A123,Log!$C$2:$C$1001,"Received",Log!$A$2:$A$1001,"&gt;="&amp;N(U123))))</f>
        <v/>
      </c>
      <c r="G123" s="24" t="n"/>
      <c r="H123" s="24" t="n"/>
      <c r="I123" s="24" t="n"/>
      <c r="J123" s="24" t="n"/>
      <c r="K123" s="24" t="n"/>
      <c r="L123" s="34" t="n"/>
      <c r="M123" s="24" t="n"/>
      <c r="N123" s="24" t="n"/>
      <c r="O123" s="35" t="n"/>
      <c r="P123" s="25" t="n"/>
      <c r="Q123" s="36">
        <f>IF(A123="","",IF(P123&lt;&gt;"",P123,IFERROR(IF(N(INDEX(Suppliers!$E$5:$E$24,MATCH(H123,Suppliers!$B$5:$B$24,0)))&gt;0,INDEX(Suppliers!$E$5:$E$24,MATCH(H123,Suppliers!$B$5:$B$24,0)),5),5)))</f>
        <v/>
      </c>
      <c r="R123" s="35" t="n"/>
      <c r="S123" s="37" t="n"/>
      <c r="T123" s="25" t="n"/>
      <c r="U123" s="37" t="n"/>
      <c r="V123" s="37" t="n"/>
      <c r="W123" s="36">
        <f>IF(A123="","",ROUNDUP(N(O123)*(Q123/7+Settings!$C$5),0))</f>
        <v/>
      </c>
      <c r="X123" s="25" t="n"/>
      <c r="Y123" s="25" t="n"/>
      <c r="Z123" s="32">
        <f>IF(A123="","",IF(Y123&lt;&gt;"",Y123,MAX(1,ROUNDUP(N(O123)*Settings!$C$7,0))))</f>
        <v/>
      </c>
      <c r="AA123" s="38">
        <f>IF(A123="","",MAX(N(S123),_xlfn.MAXIFS(Log!$A$2:$A$1001,Log!$B$2:$B$1001,A123,Log!$C$2:$C$1001,"Count")))</f>
        <v/>
      </c>
      <c r="AB123" s="39">
        <f>IF(A123="","",Z123*N(L123))</f>
        <v/>
      </c>
      <c r="AC123" s="40">
        <f>IF(A123="","",N(O123)*52*N(L123))</f>
        <v/>
      </c>
      <c r="AD123" s="39">
        <f>IF(A123="","",C123*N(L123))</f>
        <v/>
      </c>
      <c r="AE123" s="41">
        <f>IF(A123="",0,IF(AND(OR(B123="Order now",B123="Critical"),F123=0),1,0))</f>
        <v/>
      </c>
      <c r="AF123" s="41">
        <f>IF(AE123=1,IFERROR(MATCH(H123,Suppliers!$B$5:$B$24,0),99)*1000+ROW(),"")</f>
        <v/>
      </c>
      <c r="AG123" s="41">
        <f>IF(AF123="","",COUNTIF('Stock list'!$AF$2:$AF$301,"&lt;"&amp;AF123)+1)</f>
        <v/>
      </c>
      <c r="AH123" s="41">
        <f>IF(A123="",0,IF(OR(AA123=0,AND(B123="OK",OR(C123&lt;=D123+N(O123)*Settings!$C$6,Settings!$C$10-AA123&gt;Settings!$C$8*7))),1,0))</f>
        <v/>
      </c>
      <c r="AI123" s="41">
        <f>IF(AH123=0,"",IF(AA123=0,"Never counted",IF(C123&lt;=D123+N(O123)*Settings!$C$6,"Near the reorder point","Not counted for "&amp;INT((Settings!$C$10-AA123)/7)&amp;" weeks")))</f>
        <v/>
      </c>
      <c r="AJ123" s="41">
        <f>IF(AH123=1,IFERROR(MATCH(M123,Settings!$G$19:$G$38,0),99)*1000+ROW(),"")</f>
        <v/>
      </c>
      <c r="AK123" s="41">
        <f>IF(AJ123="","",COUNTIF('Stock list'!$AJ$2:$AJ$301,"&lt;"&amp;AJ123)+1)</f>
        <v/>
      </c>
      <c r="AL123" s="41">
        <f>IF(OR(A123="",N(AC123)=0),"",AC123+ROW()/1000000)</f>
        <v/>
      </c>
    </row>
    <row r="124">
      <c r="A124" s="24" t="n"/>
      <c r="B124" s="30">
        <f>IF(A124="","",IF(AA124=0,"No count",IF(AND(N(O124)&gt;0,C124/O124*7&lt;Q124),"Critical",IF(F124&gt;0,"On order",IF(AND(D124&gt;0,C124&lt;=D124),"Order now","OK")))))</f>
        <v/>
      </c>
      <c r="C124" s="31">
        <f>IF(A124="","",MAX(0,IF(_xlfn.MAXIFS(Log!$A$2:$A$1001,Log!$B$2:$B$1001,A124,Log!$C$2:$C$1001,"Count")&gt;N(S124),_xlfn.MAXIFS(Log!$D$2:$D$1001,Log!$B$2:$B$1001,A124,Log!$C$2:$C$1001,"Count",Log!$A$2:$A$1001,AA124),N(R124))+SUMIFS(Log!$D$2:$D$1001,Log!$B$2:$B$1001,A124,Log!$C$2:$C$1001,"Received",Log!$A$2:$A$1001,"&gt;"&amp;AA124)-SUMIFS(Log!$D$2:$D$1001,Log!$B$2:$B$1001,A124,Log!$C$2:$C$1001,"Used",Log!$A$2:$A$1001,"&gt;"&amp;AA124)+SUMIFS(Log!$D$2:$D$1001,Log!$B$2:$B$1001,A124,Log!$C$2:$C$1001,"Adjustment",Log!$A$2:$A$1001,"&gt;"&amp;AA124)))</f>
        <v/>
      </c>
      <c r="D124" s="32">
        <f>IF(A124="","",IF(X124&lt;&gt;"",X124,W124))</f>
        <v/>
      </c>
      <c r="E124" s="33">
        <f>IF(OR(A124="",N(O124)=0),"",C124/O124)</f>
        <v/>
      </c>
      <c r="F124" s="31">
        <f>IF(A124="","",MAX(0,N(T124)-SUMIFS(Log!$D$2:$D$1001,Log!$B$2:$B$1001,A124,Log!$C$2:$C$1001,"Received",Log!$A$2:$A$1001,"&gt;="&amp;N(U124))))</f>
        <v/>
      </c>
      <c r="G124" s="24" t="n"/>
      <c r="H124" s="24" t="n"/>
      <c r="I124" s="24" t="n"/>
      <c r="J124" s="24" t="n"/>
      <c r="K124" s="24" t="n"/>
      <c r="L124" s="34" t="n"/>
      <c r="M124" s="24" t="n"/>
      <c r="N124" s="24" t="n"/>
      <c r="O124" s="35" t="n"/>
      <c r="P124" s="25" t="n"/>
      <c r="Q124" s="36">
        <f>IF(A124="","",IF(P124&lt;&gt;"",P124,IFERROR(IF(N(INDEX(Suppliers!$E$5:$E$24,MATCH(H124,Suppliers!$B$5:$B$24,0)))&gt;0,INDEX(Suppliers!$E$5:$E$24,MATCH(H124,Suppliers!$B$5:$B$24,0)),5),5)))</f>
        <v/>
      </c>
      <c r="R124" s="35" t="n"/>
      <c r="S124" s="37" t="n"/>
      <c r="T124" s="25" t="n"/>
      <c r="U124" s="37" t="n"/>
      <c r="V124" s="37" t="n"/>
      <c r="W124" s="36">
        <f>IF(A124="","",ROUNDUP(N(O124)*(Q124/7+Settings!$C$5),0))</f>
        <v/>
      </c>
      <c r="X124" s="25" t="n"/>
      <c r="Y124" s="25" t="n"/>
      <c r="Z124" s="32">
        <f>IF(A124="","",IF(Y124&lt;&gt;"",Y124,MAX(1,ROUNDUP(N(O124)*Settings!$C$7,0))))</f>
        <v/>
      </c>
      <c r="AA124" s="38">
        <f>IF(A124="","",MAX(N(S124),_xlfn.MAXIFS(Log!$A$2:$A$1001,Log!$B$2:$B$1001,A124,Log!$C$2:$C$1001,"Count")))</f>
        <v/>
      </c>
      <c r="AB124" s="39">
        <f>IF(A124="","",Z124*N(L124))</f>
        <v/>
      </c>
      <c r="AC124" s="40">
        <f>IF(A124="","",N(O124)*52*N(L124))</f>
        <v/>
      </c>
      <c r="AD124" s="39">
        <f>IF(A124="","",C124*N(L124))</f>
        <v/>
      </c>
      <c r="AE124" s="41">
        <f>IF(A124="",0,IF(AND(OR(B124="Order now",B124="Critical"),F124=0),1,0))</f>
        <v/>
      </c>
      <c r="AF124" s="41">
        <f>IF(AE124=1,IFERROR(MATCH(H124,Suppliers!$B$5:$B$24,0),99)*1000+ROW(),"")</f>
        <v/>
      </c>
      <c r="AG124" s="41">
        <f>IF(AF124="","",COUNTIF('Stock list'!$AF$2:$AF$301,"&lt;"&amp;AF124)+1)</f>
        <v/>
      </c>
      <c r="AH124" s="41">
        <f>IF(A124="",0,IF(OR(AA124=0,AND(B124="OK",OR(C124&lt;=D124+N(O124)*Settings!$C$6,Settings!$C$10-AA124&gt;Settings!$C$8*7))),1,0))</f>
        <v/>
      </c>
      <c r="AI124" s="41">
        <f>IF(AH124=0,"",IF(AA124=0,"Never counted",IF(C124&lt;=D124+N(O124)*Settings!$C$6,"Near the reorder point","Not counted for "&amp;INT((Settings!$C$10-AA124)/7)&amp;" weeks")))</f>
        <v/>
      </c>
      <c r="AJ124" s="41">
        <f>IF(AH124=1,IFERROR(MATCH(M124,Settings!$G$19:$G$38,0),99)*1000+ROW(),"")</f>
        <v/>
      </c>
      <c r="AK124" s="41">
        <f>IF(AJ124="","",COUNTIF('Stock list'!$AJ$2:$AJ$301,"&lt;"&amp;AJ124)+1)</f>
        <v/>
      </c>
      <c r="AL124" s="41">
        <f>IF(OR(A124="",N(AC124)=0),"",AC124+ROW()/1000000)</f>
        <v/>
      </c>
    </row>
    <row r="125">
      <c r="A125" s="24" t="n"/>
      <c r="B125" s="30">
        <f>IF(A125="","",IF(AA125=0,"No count",IF(AND(N(O125)&gt;0,C125/O125*7&lt;Q125),"Critical",IF(F125&gt;0,"On order",IF(AND(D125&gt;0,C125&lt;=D125),"Order now","OK")))))</f>
        <v/>
      </c>
      <c r="C125" s="31">
        <f>IF(A125="","",MAX(0,IF(_xlfn.MAXIFS(Log!$A$2:$A$1001,Log!$B$2:$B$1001,A125,Log!$C$2:$C$1001,"Count")&gt;N(S125),_xlfn.MAXIFS(Log!$D$2:$D$1001,Log!$B$2:$B$1001,A125,Log!$C$2:$C$1001,"Count",Log!$A$2:$A$1001,AA125),N(R125))+SUMIFS(Log!$D$2:$D$1001,Log!$B$2:$B$1001,A125,Log!$C$2:$C$1001,"Received",Log!$A$2:$A$1001,"&gt;"&amp;AA125)-SUMIFS(Log!$D$2:$D$1001,Log!$B$2:$B$1001,A125,Log!$C$2:$C$1001,"Used",Log!$A$2:$A$1001,"&gt;"&amp;AA125)+SUMIFS(Log!$D$2:$D$1001,Log!$B$2:$B$1001,A125,Log!$C$2:$C$1001,"Adjustment",Log!$A$2:$A$1001,"&gt;"&amp;AA125)))</f>
        <v/>
      </c>
      <c r="D125" s="32">
        <f>IF(A125="","",IF(X125&lt;&gt;"",X125,W125))</f>
        <v/>
      </c>
      <c r="E125" s="33">
        <f>IF(OR(A125="",N(O125)=0),"",C125/O125)</f>
        <v/>
      </c>
      <c r="F125" s="31">
        <f>IF(A125="","",MAX(0,N(T125)-SUMIFS(Log!$D$2:$D$1001,Log!$B$2:$B$1001,A125,Log!$C$2:$C$1001,"Received",Log!$A$2:$A$1001,"&gt;="&amp;N(U125))))</f>
        <v/>
      </c>
      <c r="G125" s="24" t="n"/>
      <c r="H125" s="24" t="n"/>
      <c r="I125" s="24" t="n"/>
      <c r="J125" s="24" t="n"/>
      <c r="K125" s="24" t="n"/>
      <c r="L125" s="34" t="n"/>
      <c r="M125" s="24" t="n"/>
      <c r="N125" s="24" t="n"/>
      <c r="O125" s="35" t="n"/>
      <c r="P125" s="25" t="n"/>
      <c r="Q125" s="36">
        <f>IF(A125="","",IF(P125&lt;&gt;"",P125,IFERROR(IF(N(INDEX(Suppliers!$E$5:$E$24,MATCH(H125,Suppliers!$B$5:$B$24,0)))&gt;0,INDEX(Suppliers!$E$5:$E$24,MATCH(H125,Suppliers!$B$5:$B$24,0)),5),5)))</f>
        <v/>
      </c>
      <c r="R125" s="35" t="n"/>
      <c r="S125" s="37" t="n"/>
      <c r="T125" s="25" t="n"/>
      <c r="U125" s="37" t="n"/>
      <c r="V125" s="37" t="n"/>
      <c r="W125" s="36">
        <f>IF(A125="","",ROUNDUP(N(O125)*(Q125/7+Settings!$C$5),0))</f>
        <v/>
      </c>
      <c r="X125" s="25" t="n"/>
      <c r="Y125" s="25" t="n"/>
      <c r="Z125" s="32">
        <f>IF(A125="","",IF(Y125&lt;&gt;"",Y125,MAX(1,ROUNDUP(N(O125)*Settings!$C$7,0))))</f>
        <v/>
      </c>
      <c r="AA125" s="38">
        <f>IF(A125="","",MAX(N(S125),_xlfn.MAXIFS(Log!$A$2:$A$1001,Log!$B$2:$B$1001,A125,Log!$C$2:$C$1001,"Count")))</f>
        <v/>
      </c>
      <c r="AB125" s="39">
        <f>IF(A125="","",Z125*N(L125))</f>
        <v/>
      </c>
      <c r="AC125" s="40">
        <f>IF(A125="","",N(O125)*52*N(L125))</f>
        <v/>
      </c>
      <c r="AD125" s="39">
        <f>IF(A125="","",C125*N(L125))</f>
        <v/>
      </c>
      <c r="AE125" s="41">
        <f>IF(A125="",0,IF(AND(OR(B125="Order now",B125="Critical"),F125=0),1,0))</f>
        <v/>
      </c>
      <c r="AF125" s="41">
        <f>IF(AE125=1,IFERROR(MATCH(H125,Suppliers!$B$5:$B$24,0),99)*1000+ROW(),"")</f>
        <v/>
      </c>
      <c r="AG125" s="41">
        <f>IF(AF125="","",COUNTIF('Stock list'!$AF$2:$AF$301,"&lt;"&amp;AF125)+1)</f>
        <v/>
      </c>
      <c r="AH125" s="41">
        <f>IF(A125="",0,IF(OR(AA125=0,AND(B125="OK",OR(C125&lt;=D125+N(O125)*Settings!$C$6,Settings!$C$10-AA125&gt;Settings!$C$8*7))),1,0))</f>
        <v/>
      </c>
      <c r="AI125" s="41">
        <f>IF(AH125=0,"",IF(AA125=0,"Never counted",IF(C125&lt;=D125+N(O125)*Settings!$C$6,"Near the reorder point","Not counted for "&amp;INT((Settings!$C$10-AA125)/7)&amp;" weeks")))</f>
        <v/>
      </c>
      <c r="AJ125" s="41">
        <f>IF(AH125=1,IFERROR(MATCH(M125,Settings!$G$19:$G$38,0),99)*1000+ROW(),"")</f>
        <v/>
      </c>
      <c r="AK125" s="41">
        <f>IF(AJ125="","",COUNTIF('Stock list'!$AJ$2:$AJ$301,"&lt;"&amp;AJ125)+1)</f>
        <v/>
      </c>
      <c r="AL125" s="41">
        <f>IF(OR(A125="",N(AC125)=0),"",AC125+ROW()/1000000)</f>
        <v/>
      </c>
    </row>
    <row r="126">
      <c r="A126" s="24" t="n"/>
      <c r="B126" s="30">
        <f>IF(A126="","",IF(AA126=0,"No count",IF(AND(N(O126)&gt;0,C126/O126*7&lt;Q126),"Critical",IF(F126&gt;0,"On order",IF(AND(D126&gt;0,C126&lt;=D126),"Order now","OK")))))</f>
        <v/>
      </c>
      <c r="C126" s="31">
        <f>IF(A126="","",MAX(0,IF(_xlfn.MAXIFS(Log!$A$2:$A$1001,Log!$B$2:$B$1001,A126,Log!$C$2:$C$1001,"Count")&gt;N(S126),_xlfn.MAXIFS(Log!$D$2:$D$1001,Log!$B$2:$B$1001,A126,Log!$C$2:$C$1001,"Count",Log!$A$2:$A$1001,AA126),N(R126))+SUMIFS(Log!$D$2:$D$1001,Log!$B$2:$B$1001,A126,Log!$C$2:$C$1001,"Received",Log!$A$2:$A$1001,"&gt;"&amp;AA126)-SUMIFS(Log!$D$2:$D$1001,Log!$B$2:$B$1001,A126,Log!$C$2:$C$1001,"Used",Log!$A$2:$A$1001,"&gt;"&amp;AA126)+SUMIFS(Log!$D$2:$D$1001,Log!$B$2:$B$1001,A126,Log!$C$2:$C$1001,"Adjustment",Log!$A$2:$A$1001,"&gt;"&amp;AA126)))</f>
        <v/>
      </c>
      <c r="D126" s="32">
        <f>IF(A126="","",IF(X126&lt;&gt;"",X126,W126))</f>
        <v/>
      </c>
      <c r="E126" s="33">
        <f>IF(OR(A126="",N(O126)=0),"",C126/O126)</f>
        <v/>
      </c>
      <c r="F126" s="31">
        <f>IF(A126="","",MAX(0,N(T126)-SUMIFS(Log!$D$2:$D$1001,Log!$B$2:$B$1001,A126,Log!$C$2:$C$1001,"Received",Log!$A$2:$A$1001,"&gt;="&amp;N(U126))))</f>
        <v/>
      </c>
      <c r="G126" s="24" t="n"/>
      <c r="H126" s="24" t="n"/>
      <c r="I126" s="24" t="n"/>
      <c r="J126" s="24" t="n"/>
      <c r="K126" s="24" t="n"/>
      <c r="L126" s="34" t="n"/>
      <c r="M126" s="24" t="n"/>
      <c r="N126" s="24" t="n"/>
      <c r="O126" s="35" t="n"/>
      <c r="P126" s="25" t="n"/>
      <c r="Q126" s="36">
        <f>IF(A126="","",IF(P126&lt;&gt;"",P126,IFERROR(IF(N(INDEX(Suppliers!$E$5:$E$24,MATCH(H126,Suppliers!$B$5:$B$24,0)))&gt;0,INDEX(Suppliers!$E$5:$E$24,MATCH(H126,Suppliers!$B$5:$B$24,0)),5),5)))</f>
        <v/>
      </c>
      <c r="R126" s="35" t="n"/>
      <c r="S126" s="37" t="n"/>
      <c r="T126" s="25" t="n"/>
      <c r="U126" s="37" t="n"/>
      <c r="V126" s="37" t="n"/>
      <c r="W126" s="36">
        <f>IF(A126="","",ROUNDUP(N(O126)*(Q126/7+Settings!$C$5),0))</f>
        <v/>
      </c>
      <c r="X126" s="25" t="n"/>
      <c r="Y126" s="25" t="n"/>
      <c r="Z126" s="32">
        <f>IF(A126="","",IF(Y126&lt;&gt;"",Y126,MAX(1,ROUNDUP(N(O126)*Settings!$C$7,0))))</f>
        <v/>
      </c>
      <c r="AA126" s="38">
        <f>IF(A126="","",MAX(N(S126),_xlfn.MAXIFS(Log!$A$2:$A$1001,Log!$B$2:$B$1001,A126,Log!$C$2:$C$1001,"Count")))</f>
        <v/>
      </c>
      <c r="AB126" s="39">
        <f>IF(A126="","",Z126*N(L126))</f>
        <v/>
      </c>
      <c r="AC126" s="40">
        <f>IF(A126="","",N(O126)*52*N(L126))</f>
        <v/>
      </c>
      <c r="AD126" s="39">
        <f>IF(A126="","",C126*N(L126))</f>
        <v/>
      </c>
      <c r="AE126" s="41">
        <f>IF(A126="",0,IF(AND(OR(B126="Order now",B126="Critical"),F126=0),1,0))</f>
        <v/>
      </c>
      <c r="AF126" s="41">
        <f>IF(AE126=1,IFERROR(MATCH(H126,Suppliers!$B$5:$B$24,0),99)*1000+ROW(),"")</f>
        <v/>
      </c>
      <c r="AG126" s="41">
        <f>IF(AF126="","",COUNTIF('Stock list'!$AF$2:$AF$301,"&lt;"&amp;AF126)+1)</f>
        <v/>
      </c>
      <c r="AH126" s="41">
        <f>IF(A126="",0,IF(OR(AA126=0,AND(B126="OK",OR(C126&lt;=D126+N(O126)*Settings!$C$6,Settings!$C$10-AA126&gt;Settings!$C$8*7))),1,0))</f>
        <v/>
      </c>
      <c r="AI126" s="41">
        <f>IF(AH126=0,"",IF(AA126=0,"Never counted",IF(C126&lt;=D126+N(O126)*Settings!$C$6,"Near the reorder point","Not counted for "&amp;INT((Settings!$C$10-AA126)/7)&amp;" weeks")))</f>
        <v/>
      </c>
      <c r="AJ126" s="41">
        <f>IF(AH126=1,IFERROR(MATCH(M126,Settings!$G$19:$G$38,0),99)*1000+ROW(),"")</f>
        <v/>
      </c>
      <c r="AK126" s="41">
        <f>IF(AJ126="","",COUNTIF('Stock list'!$AJ$2:$AJ$301,"&lt;"&amp;AJ126)+1)</f>
        <v/>
      </c>
      <c r="AL126" s="41">
        <f>IF(OR(A126="",N(AC126)=0),"",AC126+ROW()/1000000)</f>
        <v/>
      </c>
    </row>
    <row r="127">
      <c r="A127" s="24" t="n"/>
      <c r="B127" s="30">
        <f>IF(A127="","",IF(AA127=0,"No count",IF(AND(N(O127)&gt;0,C127/O127*7&lt;Q127),"Critical",IF(F127&gt;0,"On order",IF(AND(D127&gt;0,C127&lt;=D127),"Order now","OK")))))</f>
        <v/>
      </c>
      <c r="C127" s="31">
        <f>IF(A127="","",MAX(0,IF(_xlfn.MAXIFS(Log!$A$2:$A$1001,Log!$B$2:$B$1001,A127,Log!$C$2:$C$1001,"Count")&gt;N(S127),_xlfn.MAXIFS(Log!$D$2:$D$1001,Log!$B$2:$B$1001,A127,Log!$C$2:$C$1001,"Count",Log!$A$2:$A$1001,AA127),N(R127))+SUMIFS(Log!$D$2:$D$1001,Log!$B$2:$B$1001,A127,Log!$C$2:$C$1001,"Received",Log!$A$2:$A$1001,"&gt;"&amp;AA127)-SUMIFS(Log!$D$2:$D$1001,Log!$B$2:$B$1001,A127,Log!$C$2:$C$1001,"Used",Log!$A$2:$A$1001,"&gt;"&amp;AA127)+SUMIFS(Log!$D$2:$D$1001,Log!$B$2:$B$1001,A127,Log!$C$2:$C$1001,"Adjustment",Log!$A$2:$A$1001,"&gt;"&amp;AA127)))</f>
        <v/>
      </c>
      <c r="D127" s="32">
        <f>IF(A127="","",IF(X127&lt;&gt;"",X127,W127))</f>
        <v/>
      </c>
      <c r="E127" s="33">
        <f>IF(OR(A127="",N(O127)=0),"",C127/O127)</f>
        <v/>
      </c>
      <c r="F127" s="31">
        <f>IF(A127="","",MAX(0,N(T127)-SUMIFS(Log!$D$2:$D$1001,Log!$B$2:$B$1001,A127,Log!$C$2:$C$1001,"Received",Log!$A$2:$A$1001,"&gt;="&amp;N(U127))))</f>
        <v/>
      </c>
      <c r="G127" s="24" t="n"/>
      <c r="H127" s="24" t="n"/>
      <c r="I127" s="24" t="n"/>
      <c r="J127" s="24" t="n"/>
      <c r="K127" s="24" t="n"/>
      <c r="L127" s="34" t="n"/>
      <c r="M127" s="24" t="n"/>
      <c r="N127" s="24" t="n"/>
      <c r="O127" s="35" t="n"/>
      <c r="P127" s="25" t="n"/>
      <c r="Q127" s="36">
        <f>IF(A127="","",IF(P127&lt;&gt;"",P127,IFERROR(IF(N(INDEX(Suppliers!$E$5:$E$24,MATCH(H127,Suppliers!$B$5:$B$24,0)))&gt;0,INDEX(Suppliers!$E$5:$E$24,MATCH(H127,Suppliers!$B$5:$B$24,0)),5),5)))</f>
        <v/>
      </c>
      <c r="R127" s="35" t="n"/>
      <c r="S127" s="37" t="n"/>
      <c r="T127" s="25" t="n"/>
      <c r="U127" s="37" t="n"/>
      <c r="V127" s="37" t="n"/>
      <c r="W127" s="36">
        <f>IF(A127="","",ROUNDUP(N(O127)*(Q127/7+Settings!$C$5),0))</f>
        <v/>
      </c>
      <c r="X127" s="25" t="n"/>
      <c r="Y127" s="25" t="n"/>
      <c r="Z127" s="32">
        <f>IF(A127="","",IF(Y127&lt;&gt;"",Y127,MAX(1,ROUNDUP(N(O127)*Settings!$C$7,0))))</f>
        <v/>
      </c>
      <c r="AA127" s="38">
        <f>IF(A127="","",MAX(N(S127),_xlfn.MAXIFS(Log!$A$2:$A$1001,Log!$B$2:$B$1001,A127,Log!$C$2:$C$1001,"Count")))</f>
        <v/>
      </c>
      <c r="AB127" s="39">
        <f>IF(A127="","",Z127*N(L127))</f>
        <v/>
      </c>
      <c r="AC127" s="40">
        <f>IF(A127="","",N(O127)*52*N(L127))</f>
        <v/>
      </c>
      <c r="AD127" s="39">
        <f>IF(A127="","",C127*N(L127))</f>
        <v/>
      </c>
      <c r="AE127" s="41">
        <f>IF(A127="",0,IF(AND(OR(B127="Order now",B127="Critical"),F127=0),1,0))</f>
        <v/>
      </c>
      <c r="AF127" s="41">
        <f>IF(AE127=1,IFERROR(MATCH(H127,Suppliers!$B$5:$B$24,0),99)*1000+ROW(),"")</f>
        <v/>
      </c>
      <c r="AG127" s="41">
        <f>IF(AF127="","",COUNTIF('Stock list'!$AF$2:$AF$301,"&lt;"&amp;AF127)+1)</f>
        <v/>
      </c>
      <c r="AH127" s="41">
        <f>IF(A127="",0,IF(OR(AA127=0,AND(B127="OK",OR(C127&lt;=D127+N(O127)*Settings!$C$6,Settings!$C$10-AA127&gt;Settings!$C$8*7))),1,0))</f>
        <v/>
      </c>
      <c r="AI127" s="41">
        <f>IF(AH127=0,"",IF(AA127=0,"Never counted",IF(C127&lt;=D127+N(O127)*Settings!$C$6,"Near the reorder point","Not counted for "&amp;INT((Settings!$C$10-AA127)/7)&amp;" weeks")))</f>
        <v/>
      </c>
      <c r="AJ127" s="41">
        <f>IF(AH127=1,IFERROR(MATCH(M127,Settings!$G$19:$G$38,0),99)*1000+ROW(),"")</f>
        <v/>
      </c>
      <c r="AK127" s="41">
        <f>IF(AJ127="","",COUNTIF('Stock list'!$AJ$2:$AJ$301,"&lt;"&amp;AJ127)+1)</f>
        <v/>
      </c>
      <c r="AL127" s="41">
        <f>IF(OR(A127="",N(AC127)=0),"",AC127+ROW()/1000000)</f>
        <v/>
      </c>
    </row>
    <row r="128">
      <c r="A128" s="24" t="n"/>
      <c r="B128" s="30">
        <f>IF(A128="","",IF(AA128=0,"No count",IF(AND(N(O128)&gt;0,C128/O128*7&lt;Q128),"Critical",IF(F128&gt;0,"On order",IF(AND(D128&gt;0,C128&lt;=D128),"Order now","OK")))))</f>
        <v/>
      </c>
      <c r="C128" s="31">
        <f>IF(A128="","",MAX(0,IF(_xlfn.MAXIFS(Log!$A$2:$A$1001,Log!$B$2:$B$1001,A128,Log!$C$2:$C$1001,"Count")&gt;N(S128),_xlfn.MAXIFS(Log!$D$2:$D$1001,Log!$B$2:$B$1001,A128,Log!$C$2:$C$1001,"Count",Log!$A$2:$A$1001,AA128),N(R128))+SUMIFS(Log!$D$2:$D$1001,Log!$B$2:$B$1001,A128,Log!$C$2:$C$1001,"Received",Log!$A$2:$A$1001,"&gt;"&amp;AA128)-SUMIFS(Log!$D$2:$D$1001,Log!$B$2:$B$1001,A128,Log!$C$2:$C$1001,"Used",Log!$A$2:$A$1001,"&gt;"&amp;AA128)+SUMIFS(Log!$D$2:$D$1001,Log!$B$2:$B$1001,A128,Log!$C$2:$C$1001,"Adjustment",Log!$A$2:$A$1001,"&gt;"&amp;AA128)))</f>
        <v/>
      </c>
      <c r="D128" s="32">
        <f>IF(A128="","",IF(X128&lt;&gt;"",X128,W128))</f>
        <v/>
      </c>
      <c r="E128" s="33">
        <f>IF(OR(A128="",N(O128)=0),"",C128/O128)</f>
        <v/>
      </c>
      <c r="F128" s="31">
        <f>IF(A128="","",MAX(0,N(T128)-SUMIFS(Log!$D$2:$D$1001,Log!$B$2:$B$1001,A128,Log!$C$2:$C$1001,"Received",Log!$A$2:$A$1001,"&gt;="&amp;N(U128))))</f>
        <v/>
      </c>
      <c r="G128" s="24" t="n"/>
      <c r="H128" s="24" t="n"/>
      <c r="I128" s="24" t="n"/>
      <c r="J128" s="24" t="n"/>
      <c r="K128" s="24" t="n"/>
      <c r="L128" s="34" t="n"/>
      <c r="M128" s="24" t="n"/>
      <c r="N128" s="24" t="n"/>
      <c r="O128" s="35" t="n"/>
      <c r="P128" s="25" t="n"/>
      <c r="Q128" s="36">
        <f>IF(A128="","",IF(P128&lt;&gt;"",P128,IFERROR(IF(N(INDEX(Suppliers!$E$5:$E$24,MATCH(H128,Suppliers!$B$5:$B$24,0)))&gt;0,INDEX(Suppliers!$E$5:$E$24,MATCH(H128,Suppliers!$B$5:$B$24,0)),5),5)))</f>
        <v/>
      </c>
      <c r="R128" s="35" t="n"/>
      <c r="S128" s="37" t="n"/>
      <c r="T128" s="25" t="n"/>
      <c r="U128" s="37" t="n"/>
      <c r="V128" s="37" t="n"/>
      <c r="W128" s="36">
        <f>IF(A128="","",ROUNDUP(N(O128)*(Q128/7+Settings!$C$5),0))</f>
        <v/>
      </c>
      <c r="X128" s="25" t="n"/>
      <c r="Y128" s="25" t="n"/>
      <c r="Z128" s="32">
        <f>IF(A128="","",IF(Y128&lt;&gt;"",Y128,MAX(1,ROUNDUP(N(O128)*Settings!$C$7,0))))</f>
        <v/>
      </c>
      <c r="AA128" s="38">
        <f>IF(A128="","",MAX(N(S128),_xlfn.MAXIFS(Log!$A$2:$A$1001,Log!$B$2:$B$1001,A128,Log!$C$2:$C$1001,"Count")))</f>
        <v/>
      </c>
      <c r="AB128" s="39">
        <f>IF(A128="","",Z128*N(L128))</f>
        <v/>
      </c>
      <c r="AC128" s="40">
        <f>IF(A128="","",N(O128)*52*N(L128))</f>
        <v/>
      </c>
      <c r="AD128" s="39">
        <f>IF(A128="","",C128*N(L128))</f>
        <v/>
      </c>
      <c r="AE128" s="41">
        <f>IF(A128="",0,IF(AND(OR(B128="Order now",B128="Critical"),F128=0),1,0))</f>
        <v/>
      </c>
      <c r="AF128" s="41">
        <f>IF(AE128=1,IFERROR(MATCH(H128,Suppliers!$B$5:$B$24,0),99)*1000+ROW(),"")</f>
        <v/>
      </c>
      <c r="AG128" s="41">
        <f>IF(AF128="","",COUNTIF('Stock list'!$AF$2:$AF$301,"&lt;"&amp;AF128)+1)</f>
        <v/>
      </c>
      <c r="AH128" s="41">
        <f>IF(A128="",0,IF(OR(AA128=0,AND(B128="OK",OR(C128&lt;=D128+N(O128)*Settings!$C$6,Settings!$C$10-AA128&gt;Settings!$C$8*7))),1,0))</f>
        <v/>
      </c>
      <c r="AI128" s="41">
        <f>IF(AH128=0,"",IF(AA128=0,"Never counted",IF(C128&lt;=D128+N(O128)*Settings!$C$6,"Near the reorder point","Not counted for "&amp;INT((Settings!$C$10-AA128)/7)&amp;" weeks")))</f>
        <v/>
      </c>
      <c r="AJ128" s="41">
        <f>IF(AH128=1,IFERROR(MATCH(M128,Settings!$G$19:$G$38,0),99)*1000+ROW(),"")</f>
        <v/>
      </c>
      <c r="AK128" s="41">
        <f>IF(AJ128="","",COUNTIF('Stock list'!$AJ$2:$AJ$301,"&lt;"&amp;AJ128)+1)</f>
        <v/>
      </c>
      <c r="AL128" s="41">
        <f>IF(OR(A128="",N(AC128)=0),"",AC128+ROW()/1000000)</f>
        <v/>
      </c>
    </row>
    <row r="129">
      <c r="A129" s="24" t="n"/>
      <c r="B129" s="30">
        <f>IF(A129="","",IF(AA129=0,"No count",IF(AND(N(O129)&gt;0,C129/O129*7&lt;Q129),"Critical",IF(F129&gt;0,"On order",IF(AND(D129&gt;0,C129&lt;=D129),"Order now","OK")))))</f>
        <v/>
      </c>
      <c r="C129" s="31">
        <f>IF(A129="","",MAX(0,IF(_xlfn.MAXIFS(Log!$A$2:$A$1001,Log!$B$2:$B$1001,A129,Log!$C$2:$C$1001,"Count")&gt;N(S129),_xlfn.MAXIFS(Log!$D$2:$D$1001,Log!$B$2:$B$1001,A129,Log!$C$2:$C$1001,"Count",Log!$A$2:$A$1001,AA129),N(R129))+SUMIFS(Log!$D$2:$D$1001,Log!$B$2:$B$1001,A129,Log!$C$2:$C$1001,"Received",Log!$A$2:$A$1001,"&gt;"&amp;AA129)-SUMIFS(Log!$D$2:$D$1001,Log!$B$2:$B$1001,A129,Log!$C$2:$C$1001,"Used",Log!$A$2:$A$1001,"&gt;"&amp;AA129)+SUMIFS(Log!$D$2:$D$1001,Log!$B$2:$B$1001,A129,Log!$C$2:$C$1001,"Adjustment",Log!$A$2:$A$1001,"&gt;"&amp;AA129)))</f>
        <v/>
      </c>
      <c r="D129" s="32">
        <f>IF(A129="","",IF(X129&lt;&gt;"",X129,W129))</f>
        <v/>
      </c>
      <c r="E129" s="33">
        <f>IF(OR(A129="",N(O129)=0),"",C129/O129)</f>
        <v/>
      </c>
      <c r="F129" s="31">
        <f>IF(A129="","",MAX(0,N(T129)-SUMIFS(Log!$D$2:$D$1001,Log!$B$2:$B$1001,A129,Log!$C$2:$C$1001,"Received",Log!$A$2:$A$1001,"&gt;="&amp;N(U129))))</f>
        <v/>
      </c>
      <c r="G129" s="24" t="n"/>
      <c r="H129" s="24" t="n"/>
      <c r="I129" s="24" t="n"/>
      <c r="J129" s="24" t="n"/>
      <c r="K129" s="24" t="n"/>
      <c r="L129" s="34" t="n"/>
      <c r="M129" s="24" t="n"/>
      <c r="N129" s="24" t="n"/>
      <c r="O129" s="35" t="n"/>
      <c r="P129" s="25" t="n"/>
      <c r="Q129" s="36">
        <f>IF(A129="","",IF(P129&lt;&gt;"",P129,IFERROR(IF(N(INDEX(Suppliers!$E$5:$E$24,MATCH(H129,Suppliers!$B$5:$B$24,0)))&gt;0,INDEX(Suppliers!$E$5:$E$24,MATCH(H129,Suppliers!$B$5:$B$24,0)),5),5)))</f>
        <v/>
      </c>
      <c r="R129" s="35" t="n"/>
      <c r="S129" s="37" t="n"/>
      <c r="T129" s="25" t="n"/>
      <c r="U129" s="37" t="n"/>
      <c r="V129" s="37" t="n"/>
      <c r="W129" s="36">
        <f>IF(A129="","",ROUNDUP(N(O129)*(Q129/7+Settings!$C$5),0))</f>
        <v/>
      </c>
      <c r="X129" s="25" t="n"/>
      <c r="Y129" s="25" t="n"/>
      <c r="Z129" s="32">
        <f>IF(A129="","",IF(Y129&lt;&gt;"",Y129,MAX(1,ROUNDUP(N(O129)*Settings!$C$7,0))))</f>
        <v/>
      </c>
      <c r="AA129" s="38">
        <f>IF(A129="","",MAX(N(S129),_xlfn.MAXIFS(Log!$A$2:$A$1001,Log!$B$2:$B$1001,A129,Log!$C$2:$C$1001,"Count")))</f>
        <v/>
      </c>
      <c r="AB129" s="39">
        <f>IF(A129="","",Z129*N(L129))</f>
        <v/>
      </c>
      <c r="AC129" s="40">
        <f>IF(A129="","",N(O129)*52*N(L129))</f>
        <v/>
      </c>
      <c r="AD129" s="39">
        <f>IF(A129="","",C129*N(L129))</f>
        <v/>
      </c>
      <c r="AE129" s="41">
        <f>IF(A129="",0,IF(AND(OR(B129="Order now",B129="Critical"),F129=0),1,0))</f>
        <v/>
      </c>
      <c r="AF129" s="41">
        <f>IF(AE129=1,IFERROR(MATCH(H129,Suppliers!$B$5:$B$24,0),99)*1000+ROW(),"")</f>
        <v/>
      </c>
      <c r="AG129" s="41">
        <f>IF(AF129="","",COUNTIF('Stock list'!$AF$2:$AF$301,"&lt;"&amp;AF129)+1)</f>
        <v/>
      </c>
      <c r="AH129" s="41">
        <f>IF(A129="",0,IF(OR(AA129=0,AND(B129="OK",OR(C129&lt;=D129+N(O129)*Settings!$C$6,Settings!$C$10-AA129&gt;Settings!$C$8*7))),1,0))</f>
        <v/>
      </c>
      <c r="AI129" s="41">
        <f>IF(AH129=0,"",IF(AA129=0,"Never counted",IF(C129&lt;=D129+N(O129)*Settings!$C$6,"Near the reorder point","Not counted for "&amp;INT((Settings!$C$10-AA129)/7)&amp;" weeks")))</f>
        <v/>
      </c>
      <c r="AJ129" s="41">
        <f>IF(AH129=1,IFERROR(MATCH(M129,Settings!$G$19:$G$38,0),99)*1000+ROW(),"")</f>
        <v/>
      </c>
      <c r="AK129" s="41">
        <f>IF(AJ129="","",COUNTIF('Stock list'!$AJ$2:$AJ$301,"&lt;"&amp;AJ129)+1)</f>
        <v/>
      </c>
      <c r="AL129" s="41">
        <f>IF(OR(A129="",N(AC129)=0),"",AC129+ROW()/1000000)</f>
        <v/>
      </c>
    </row>
    <row r="130">
      <c r="A130" s="24" t="n"/>
      <c r="B130" s="30">
        <f>IF(A130="","",IF(AA130=0,"No count",IF(AND(N(O130)&gt;0,C130/O130*7&lt;Q130),"Critical",IF(F130&gt;0,"On order",IF(AND(D130&gt;0,C130&lt;=D130),"Order now","OK")))))</f>
        <v/>
      </c>
      <c r="C130" s="31">
        <f>IF(A130="","",MAX(0,IF(_xlfn.MAXIFS(Log!$A$2:$A$1001,Log!$B$2:$B$1001,A130,Log!$C$2:$C$1001,"Count")&gt;N(S130),_xlfn.MAXIFS(Log!$D$2:$D$1001,Log!$B$2:$B$1001,A130,Log!$C$2:$C$1001,"Count",Log!$A$2:$A$1001,AA130),N(R130))+SUMIFS(Log!$D$2:$D$1001,Log!$B$2:$B$1001,A130,Log!$C$2:$C$1001,"Received",Log!$A$2:$A$1001,"&gt;"&amp;AA130)-SUMIFS(Log!$D$2:$D$1001,Log!$B$2:$B$1001,A130,Log!$C$2:$C$1001,"Used",Log!$A$2:$A$1001,"&gt;"&amp;AA130)+SUMIFS(Log!$D$2:$D$1001,Log!$B$2:$B$1001,A130,Log!$C$2:$C$1001,"Adjustment",Log!$A$2:$A$1001,"&gt;"&amp;AA130)))</f>
        <v/>
      </c>
      <c r="D130" s="32">
        <f>IF(A130="","",IF(X130&lt;&gt;"",X130,W130))</f>
        <v/>
      </c>
      <c r="E130" s="33">
        <f>IF(OR(A130="",N(O130)=0),"",C130/O130)</f>
        <v/>
      </c>
      <c r="F130" s="31">
        <f>IF(A130="","",MAX(0,N(T130)-SUMIFS(Log!$D$2:$D$1001,Log!$B$2:$B$1001,A130,Log!$C$2:$C$1001,"Received",Log!$A$2:$A$1001,"&gt;="&amp;N(U130))))</f>
        <v/>
      </c>
      <c r="G130" s="24" t="n"/>
      <c r="H130" s="24" t="n"/>
      <c r="I130" s="24" t="n"/>
      <c r="J130" s="24" t="n"/>
      <c r="K130" s="24" t="n"/>
      <c r="L130" s="34" t="n"/>
      <c r="M130" s="24" t="n"/>
      <c r="N130" s="24" t="n"/>
      <c r="O130" s="35" t="n"/>
      <c r="P130" s="25" t="n"/>
      <c r="Q130" s="36">
        <f>IF(A130="","",IF(P130&lt;&gt;"",P130,IFERROR(IF(N(INDEX(Suppliers!$E$5:$E$24,MATCH(H130,Suppliers!$B$5:$B$24,0)))&gt;0,INDEX(Suppliers!$E$5:$E$24,MATCH(H130,Suppliers!$B$5:$B$24,0)),5),5)))</f>
        <v/>
      </c>
      <c r="R130" s="35" t="n"/>
      <c r="S130" s="37" t="n"/>
      <c r="T130" s="25" t="n"/>
      <c r="U130" s="37" t="n"/>
      <c r="V130" s="37" t="n"/>
      <c r="W130" s="36">
        <f>IF(A130="","",ROUNDUP(N(O130)*(Q130/7+Settings!$C$5),0))</f>
        <v/>
      </c>
      <c r="X130" s="25" t="n"/>
      <c r="Y130" s="25" t="n"/>
      <c r="Z130" s="32">
        <f>IF(A130="","",IF(Y130&lt;&gt;"",Y130,MAX(1,ROUNDUP(N(O130)*Settings!$C$7,0))))</f>
        <v/>
      </c>
      <c r="AA130" s="38">
        <f>IF(A130="","",MAX(N(S130),_xlfn.MAXIFS(Log!$A$2:$A$1001,Log!$B$2:$B$1001,A130,Log!$C$2:$C$1001,"Count")))</f>
        <v/>
      </c>
      <c r="AB130" s="39">
        <f>IF(A130="","",Z130*N(L130))</f>
        <v/>
      </c>
      <c r="AC130" s="40">
        <f>IF(A130="","",N(O130)*52*N(L130))</f>
        <v/>
      </c>
      <c r="AD130" s="39">
        <f>IF(A130="","",C130*N(L130))</f>
        <v/>
      </c>
      <c r="AE130" s="41">
        <f>IF(A130="",0,IF(AND(OR(B130="Order now",B130="Critical"),F130=0),1,0))</f>
        <v/>
      </c>
      <c r="AF130" s="41">
        <f>IF(AE130=1,IFERROR(MATCH(H130,Suppliers!$B$5:$B$24,0),99)*1000+ROW(),"")</f>
        <v/>
      </c>
      <c r="AG130" s="41">
        <f>IF(AF130="","",COUNTIF('Stock list'!$AF$2:$AF$301,"&lt;"&amp;AF130)+1)</f>
        <v/>
      </c>
      <c r="AH130" s="41">
        <f>IF(A130="",0,IF(OR(AA130=0,AND(B130="OK",OR(C130&lt;=D130+N(O130)*Settings!$C$6,Settings!$C$10-AA130&gt;Settings!$C$8*7))),1,0))</f>
        <v/>
      </c>
      <c r="AI130" s="41">
        <f>IF(AH130=0,"",IF(AA130=0,"Never counted",IF(C130&lt;=D130+N(O130)*Settings!$C$6,"Near the reorder point","Not counted for "&amp;INT((Settings!$C$10-AA130)/7)&amp;" weeks")))</f>
        <v/>
      </c>
      <c r="AJ130" s="41">
        <f>IF(AH130=1,IFERROR(MATCH(M130,Settings!$G$19:$G$38,0),99)*1000+ROW(),"")</f>
        <v/>
      </c>
      <c r="AK130" s="41">
        <f>IF(AJ130="","",COUNTIF('Stock list'!$AJ$2:$AJ$301,"&lt;"&amp;AJ130)+1)</f>
        <v/>
      </c>
      <c r="AL130" s="41">
        <f>IF(OR(A130="",N(AC130)=0),"",AC130+ROW()/1000000)</f>
        <v/>
      </c>
    </row>
    <row r="131">
      <c r="A131" s="24" t="n"/>
      <c r="B131" s="30">
        <f>IF(A131="","",IF(AA131=0,"No count",IF(AND(N(O131)&gt;0,C131/O131*7&lt;Q131),"Critical",IF(F131&gt;0,"On order",IF(AND(D131&gt;0,C131&lt;=D131),"Order now","OK")))))</f>
        <v/>
      </c>
      <c r="C131" s="31">
        <f>IF(A131="","",MAX(0,IF(_xlfn.MAXIFS(Log!$A$2:$A$1001,Log!$B$2:$B$1001,A131,Log!$C$2:$C$1001,"Count")&gt;N(S131),_xlfn.MAXIFS(Log!$D$2:$D$1001,Log!$B$2:$B$1001,A131,Log!$C$2:$C$1001,"Count",Log!$A$2:$A$1001,AA131),N(R131))+SUMIFS(Log!$D$2:$D$1001,Log!$B$2:$B$1001,A131,Log!$C$2:$C$1001,"Received",Log!$A$2:$A$1001,"&gt;"&amp;AA131)-SUMIFS(Log!$D$2:$D$1001,Log!$B$2:$B$1001,A131,Log!$C$2:$C$1001,"Used",Log!$A$2:$A$1001,"&gt;"&amp;AA131)+SUMIFS(Log!$D$2:$D$1001,Log!$B$2:$B$1001,A131,Log!$C$2:$C$1001,"Adjustment",Log!$A$2:$A$1001,"&gt;"&amp;AA131)))</f>
        <v/>
      </c>
      <c r="D131" s="32">
        <f>IF(A131="","",IF(X131&lt;&gt;"",X131,W131))</f>
        <v/>
      </c>
      <c r="E131" s="33">
        <f>IF(OR(A131="",N(O131)=0),"",C131/O131)</f>
        <v/>
      </c>
      <c r="F131" s="31">
        <f>IF(A131="","",MAX(0,N(T131)-SUMIFS(Log!$D$2:$D$1001,Log!$B$2:$B$1001,A131,Log!$C$2:$C$1001,"Received",Log!$A$2:$A$1001,"&gt;="&amp;N(U131))))</f>
        <v/>
      </c>
      <c r="G131" s="24" t="n"/>
      <c r="H131" s="24" t="n"/>
      <c r="I131" s="24" t="n"/>
      <c r="J131" s="24" t="n"/>
      <c r="K131" s="24" t="n"/>
      <c r="L131" s="34" t="n"/>
      <c r="M131" s="24" t="n"/>
      <c r="N131" s="24" t="n"/>
      <c r="O131" s="35" t="n"/>
      <c r="P131" s="25" t="n"/>
      <c r="Q131" s="36">
        <f>IF(A131="","",IF(P131&lt;&gt;"",P131,IFERROR(IF(N(INDEX(Suppliers!$E$5:$E$24,MATCH(H131,Suppliers!$B$5:$B$24,0)))&gt;0,INDEX(Suppliers!$E$5:$E$24,MATCH(H131,Suppliers!$B$5:$B$24,0)),5),5)))</f>
        <v/>
      </c>
      <c r="R131" s="35" t="n"/>
      <c r="S131" s="37" t="n"/>
      <c r="T131" s="25" t="n"/>
      <c r="U131" s="37" t="n"/>
      <c r="V131" s="37" t="n"/>
      <c r="W131" s="36">
        <f>IF(A131="","",ROUNDUP(N(O131)*(Q131/7+Settings!$C$5),0))</f>
        <v/>
      </c>
      <c r="X131" s="25" t="n"/>
      <c r="Y131" s="25" t="n"/>
      <c r="Z131" s="32">
        <f>IF(A131="","",IF(Y131&lt;&gt;"",Y131,MAX(1,ROUNDUP(N(O131)*Settings!$C$7,0))))</f>
        <v/>
      </c>
      <c r="AA131" s="38">
        <f>IF(A131="","",MAX(N(S131),_xlfn.MAXIFS(Log!$A$2:$A$1001,Log!$B$2:$B$1001,A131,Log!$C$2:$C$1001,"Count")))</f>
        <v/>
      </c>
      <c r="AB131" s="39">
        <f>IF(A131="","",Z131*N(L131))</f>
        <v/>
      </c>
      <c r="AC131" s="40">
        <f>IF(A131="","",N(O131)*52*N(L131))</f>
        <v/>
      </c>
      <c r="AD131" s="39">
        <f>IF(A131="","",C131*N(L131))</f>
        <v/>
      </c>
      <c r="AE131" s="41">
        <f>IF(A131="",0,IF(AND(OR(B131="Order now",B131="Critical"),F131=0),1,0))</f>
        <v/>
      </c>
      <c r="AF131" s="41">
        <f>IF(AE131=1,IFERROR(MATCH(H131,Suppliers!$B$5:$B$24,0),99)*1000+ROW(),"")</f>
        <v/>
      </c>
      <c r="AG131" s="41">
        <f>IF(AF131="","",COUNTIF('Stock list'!$AF$2:$AF$301,"&lt;"&amp;AF131)+1)</f>
        <v/>
      </c>
      <c r="AH131" s="41">
        <f>IF(A131="",0,IF(OR(AA131=0,AND(B131="OK",OR(C131&lt;=D131+N(O131)*Settings!$C$6,Settings!$C$10-AA131&gt;Settings!$C$8*7))),1,0))</f>
        <v/>
      </c>
      <c r="AI131" s="41">
        <f>IF(AH131=0,"",IF(AA131=0,"Never counted",IF(C131&lt;=D131+N(O131)*Settings!$C$6,"Near the reorder point","Not counted for "&amp;INT((Settings!$C$10-AA131)/7)&amp;" weeks")))</f>
        <v/>
      </c>
      <c r="AJ131" s="41">
        <f>IF(AH131=1,IFERROR(MATCH(M131,Settings!$G$19:$G$38,0),99)*1000+ROW(),"")</f>
        <v/>
      </c>
      <c r="AK131" s="41">
        <f>IF(AJ131="","",COUNTIF('Stock list'!$AJ$2:$AJ$301,"&lt;"&amp;AJ131)+1)</f>
        <v/>
      </c>
      <c r="AL131" s="41">
        <f>IF(OR(A131="",N(AC131)=0),"",AC131+ROW()/1000000)</f>
        <v/>
      </c>
    </row>
    <row r="132">
      <c r="A132" s="24" t="n"/>
      <c r="B132" s="30">
        <f>IF(A132="","",IF(AA132=0,"No count",IF(AND(N(O132)&gt;0,C132/O132*7&lt;Q132),"Critical",IF(F132&gt;0,"On order",IF(AND(D132&gt;0,C132&lt;=D132),"Order now","OK")))))</f>
        <v/>
      </c>
      <c r="C132" s="31">
        <f>IF(A132="","",MAX(0,IF(_xlfn.MAXIFS(Log!$A$2:$A$1001,Log!$B$2:$B$1001,A132,Log!$C$2:$C$1001,"Count")&gt;N(S132),_xlfn.MAXIFS(Log!$D$2:$D$1001,Log!$B$2:$B$1001,A132,Log!$C$2:$C$1001,"Count",Log!$A$2:$A$1001,AA132),N(R132))+SUMIFS(Log!$D$2:$D$1001,Log!$B$2:$B$1001,A132,Log!$C$2:$C$1001,"Received",Log!$A$2:$A$1001,"&gt;"&amp;AA132)-SUMIFS(Log!$D$2:$D$1001,Log!$B$2:$B$1001,A132,Log!$C$2:$C$1001,"Used",Log!$A$2:$A$1001,"&gt;"&amp;AA132)+SUMIFS(Log!$D$2:$D$1001,Log!$B$2:$B$1001,A132,Log!$C$2:$C$1001,"Adjustment",Log!$A$2:$A$1001,"&gt;"&amp;AA132)))</f>
        <v/>
      </c>
      <c r="D132" s="32">
        <f>IF(A132="","",IF(X132&lt;&gt;"",X132,W132))</f>
        <v/>
      </c>
      <c r="E132" s="33">
        <f>IF(OR(A132="",N(O132)=0),"",C132/O132)</f>
        <v/>
      </c>
      <c r="F132" s="31">
        <f>IF(A132="","",MAX(0,N(T132)-SUMIFS(Log!$D$2:$D$1001,Log!$B$2:$B$1001,A132,Log!$C$2:$C$1001,"Received",Log!$A$2:$A$1001,"&gt;="&amp;N(U132))))</f>
        <v/>
      </c>
      <c r="G132" s="24" t="n"/>
      <c r="H132" s="24" t="n"/>
      <c r="I132" s="24" t="n"/>
      <c r="J132" s="24" t="n"/>
      <c r="K132" s="24" t="n"/>
      <c r="L132" s="34" t="n"/>
      <c r="M132" s="24" t="n"/>
      <c r="N132" s="24" t="n"/>
      <c r="O132" s="35" t="n"/>
      <c r="P132" s="25" t="n"/>
      <c r="Q132" s="36">
        <f>IF(A132="","",IF(P132&lt;&gt;"",P132,IFERROR(IF(N(INDEX(Suppliers!$E$5:$E$24,MATCH(H132,Suppliers!$B$5:$B$24,0)))&gt;0,INDEX(Suppliers!$E$5:$E$24,MATCH(H132,Suppliers!$B$5:$B$24,0)),5),5)))</f>
        <v/>
      </c>
      <c r="R132" s="35" t="n"/>
      <c r="S132" s="37" t="n"/>
      <c r="T132" s="25" t="n"/>
      <c r="U132" s="37" t="n"/>
      <c r="V132" s="37" t="n"/>
      <c r="W132" s="36">
        <f>IF(A132="","",ROUNDUP(N(O132)*(Q132/7+Settings!$C$5),0))</f>
        <v/>
      </c>
      <c r="X132" s="25" t="n"/>
      <c r="Y132" s="25" t="n"/>
      <c r="Z132" s="32">
        <f>IF(A132="","",IF(Y132&lt;&gt;"",Y132,MAX(1,ROUNDUP(N(O132)*Settings!$C$7,0))))</f>
        <v/>
      </c>
      <c r="AA132" s="38">
        <f>IF(A132="","",MAX(N(S132),_xlfn.MAXIFS(Log!$A$2:$A$1001,Log!$B$2:$B$1001,A132,Log!$C$2:$C$1001,"Count")))</f>
        <v/>
      </c>
      <c r="AB132" s="39">
        <f>IF(A132="","",Z132*N(L132))</f>
        <v/>
      </c>
      <c r="AC132" s="40">
        <f>IF(A132="","",N(O132)*52*N(L132))</f>
        <v/>
      </c>
      <c r="AD132" s="39">
        <f>IF(A132="","",C132*N(L132))</f>
        <v/>
      </c>
      <c r="AE132" s="41">
        <f>IF(A132="",0,IF(AND(OR(B132="Order now",B132="Critical"),F132=0),1,0))</f>
        <v/>
      </c>
      <c r="AF132" s="41">
        <f>IF(AE132=1,IFERROR(MATCH(H132,Suppliers!$B$5:$B$24,0),99)*1000+ROW(),"")</f>
        <v/>
      </c>
      <c r="AG132" s="41">
        <f>IF(AF132="","",COUNTIF('Stock list'!$AF$2:$AF$301,"&lt;"&amp;AF132)+1)</f>
        <v/>
      </c>
      <c r="AH132" s="41">
        <f>IF(A132="",0,IF(OR(AA132=0,AND(B132="OK",OR(C132&lt;=D132+N(O132)*Settings!$C$6,Settings!$C$10-AA132&gt;Settings!$C$8*7))),1,0))</f>
        <v/>
      </c>
      <c r="AI132" s="41">
        <f>IF(AH132=0,"",IF(AA132=0,"Never counted",IF(C132&lt;=D132+N(O132)*Settings!$C$6,"Near the reorder point","Not counted for "&amp;INT((Settings!$C$10-AA132)/7)&amp;" weeks")))</f>
        <v/>
      </c>
      <c r="AJ132" s="41">
        <f>IF(AH132=1,IFERROR(MATCH(M132,Settings!$G$19:$G$38,0),99)*1000+ROW(),"")</f>
        <v/>
      </c>
      <c r="AK132" s="41">
        <f>IF(AJ132="","",COUNTIF('Stock list'!$AJ$2:$AJ$301,"&lt;"&amp;AJ132)+1)</f>
        <v/>
      </c>
      <c r="AL132" s="41">
        <f>IF(OR(A132="",N(AC132)=0),"",AC132+ROW()/1000000)</f>
        <v/>
      </c>
    </row>
    <row r="133">
      <c r="A133" s="24" t="n"/>
      <c r="B133" s="30">
        <f>IF(A133="","",IF(AA133=0,"No count",IF(AND(N(O133)&gt;0,C133/O133*7&lt;Q133),"Critical",IF(F133&gt;0,"On order",IF(AND(D133&gt;0,C133&lt;=D133),"Order now","OK")))))</f>
        <v/>
      </c>
      <c r="C133" s="31">
        <f>IF(A133="","",MAX(0,IF(_xlfn.MAXIFS(Log!$A$2:$A$1001,Log!$B$2:$B$1001,A133,Log!$C$2:$C$1001,"Count")&gt;N(S133),_xlfn.MAXIFS(Log!$D$2:$D$1001,Log!$B$2:$B$1001,A133,Log!$C$2:$C$1001,"Count",Log!$A$2:$A$1001,AA133),N(R133))+SUMIFS(Log!$D$2:$D$1001,Log!$B$2:$B$1001,A133,Log!$C$2:$C$1001,"Received",Log!$A$2:$A$1001,"&gt;"&amp;AA133)-SUMIFS(Log!$D$2:$D$1001,Log!$B$2:$B$1001,A133,Log!$C$2:$C$1001,"Used",Log!$A$2:$A$1001,"&gt;"&amp;AA133)+SUMIFS(Log!$D$2:$D$1001,Log!$B$2:$B$1001,A133,Log!$C$2:$C$1001,"Adjustment",Log!$A$2:$A$1001,"&gt;"&amp;AA133)))</f>
        <v/>
      </c>
      <c r="D133" s="32">
        <f>IF(A133="","",IF(X133&lt;&gt;"",X133,W133))</f>
        <v/>
      </c>
      <c r="E133" s="33">
        <f>IF(OR(A133="",N(O133)=0),"",C133/O133)</f>
        <v/>
      </c>
      <c r="F133" s="31">
        <f>IF(A133="","",MAX(0,N(T133)-SUMIFS(Log!$D$2:$D$1001,Log!$B$2:$B$1001,A133,Log!$C$2:$C$1001,"Received",Log!$A$2:$A$1001,"&gt;="&amp;N(U133))))</f>
        <v/>
      </c>
      <c r="G133" s="24" t="n"/>
      <c r="H133" s="24" t="n"/>
      <c r="I133" s="24" t="n"/>
      <c r="J133" s="24" t="n"/>
      <c r="K133" s="24" t="n"/>
      <c r="L133" s="34" t="n"/>
      <c r="M133" s="24" t="n"/>
      <c r="N133" s="24" t="n"/>
      <c r="O133" s="35" t="n"/>
      <c r="P133" s="25" t="n"/>
      <c r="Q133" s="36">
        <f>IF(A133="","",IF(P133&lt;&gt;"",P133,IFERROR(IF(N(INDEX(Suppliers!$E$5:$E$24,MATCH(H133,Suppliers!$B$5:$B$24,0)))&gt;0,INDEX(Suppliers!$E$5:$E$24,MATCH(H133,Suppliers!$B$5:$B$24,0)),5),5)))</f>
        <v/>
      </c>
      <c r="R133" s="35" t="n"/>
      <c r="S133" s="37" t="n"/>
      <c r="T133" s="25" t="n"/>
      <c r="U133" s="37" t="n"/>
      <c r="V133" s="37" t="n"/>
      <c r="W133" s="36">
        <f>IF(A133="","",ROUNDUP(N(O133)*(Q133/7+Settings!$C$5),0))</f>
        <v/>
      </c>
      <c r="X133" s="25" t="n"/>
      <c r="Y133" s="25" t="n"/>
      <c r="Z133" s="32">
        <f>IF(A133="","",IF(Y133&lt;&gt;"",Y133,MAX(1,ROUNDUP(N(O133)*Settings!$C$7,0))))</f>
        <v/>
      </c>
      <c r="AA133" s="38">
        <f>IF(A133="","",MAX(N(S133),_xlfn.MAXIFS(Log!$A$2:$A$1001,Log!$B$2:$B$1001,A133,Log!$C$2:$C$1001,"Count")))</f>
        <v/>
      </c>
      <c r="AB133" s="39">
        <f>IF(A133="","",Z133*N(L133))</f>
        <v/>
      </c>
      <c r="AC133" s="40">
        <f>IF(A133="","",N(O133)*52*N(L133))</f>
        <v/>
      </c>
      <c r="AD133" s="39">
        <f>IF(A133="","",C133*N(L133))</f>
        <v/>
      </c>
      <c r="AE133" s="41">
        <f>IF(A133="",0,IF(AND(OR(B133="Order now",B133="Critical"),F133=0),1,0))</f>
        <v/>
      </c>
      <c r="AF133" s="41">
        <f>IF(AE133=1,IFERROR(MATCH(H133,Suppliers!$B$5:$B$24,0),99)*1000+ROW(),"")</f>
        <v/>
      </c>
      <c r="AG133" s="41">
        <f>IF(AF133="","",COUNTIF('Stock list'!$AF$2:$AF$301,"&lt;"&amp;AF133)+1)</f>
        <v/>
      </c>
      <c r="AH133" s="41">
        <f>IF(A133="",0,IF(OR(AA133=0,AND(B133="OK",OR(C133&lt;=D133+N(O133)*Settings!$C$6,Settings!$C$10-AA133&gt;Settings!$C$8*7))),1,0))</f>
        <v/>
      </c>
      <c r="AI133" s="41">
        <f>IF(AH133=0,"",IF(AA133=0,"Never counted",IF(C133&lt;=D133+N(O133)*Settings!$C$6,"Near the reorder point","Not counted for "&amp;INT((Settings!$C$10-AA133)/7)&amp;" weeks")))</f>
        <v/>
      </c>
      <c r="AJ133" s="41">
        <f>IF(AH133=1,IFERROR(MATCH(M133,Settings!$G$19:$G$38,0),99)*1000+ROW(),"")</f>
        <v/>
      </c>
      <c r="AK133" s="41">
        <f>IF(AJ133="","",COUNTIF('Stock list'!$AJ$2:$AJ$301,"&lt;"&amp;AJ133)+1)</f>
        <v/>
      </c>
      <c r="AL133" s="41">
        <f>IF(OR(A133="",N(AC133)=0),"",AC133+ROW()/1000000)</f>
        <v/>
      </c>
    </row>
    <row r="134">
      <c r="A134" s="24" t="n"/>
      <c r="B134" s="30">
        <f>IF(A134="","",IF(AA134=0,"No count",IF(AND(N(O134)&gt;0,C134/O134*7&lt;Q134),"Critical",IF(F134&gt;0,"On order",IF(AND(D134&gt;0,C134&lt;=D134),"Order now","OK")))))</f>
        <v/>
      </c>
      <c r="C134" s="31">
        <f>IF(A134="","",MAX(0,IF(_xlfn.MAXIFS(Log!$A$2:$A$1001,Log!$B$2:$B$1001,A134,Log!$C$2:$C$1001,"Count")&gt;N(S134),_xlfn.MAXIFS(Log!$D$2:$D$1001,Log!$B$2:$B$1001,A134,Log!$C$2:$C$1001,"Count",Log!$A$2:$A$1001,AA134),N(R134))+SUMIFS(Log!$D$2:$D$1001,Log!$B$2:$B$1001,A134,Log!$C$2:$C$1001,"Received",Log!$A$2:$A$1001,"&gt;"&amp;AA134)-SUMIFS(Log!$D$2:$D$1001,Log!$B$2:$B$1001,A134,Log!$C$2:$C$1001,"Used",Log!$A$2:$A$1001,"&gt;"&amp;AA134)+SUMIFS(Log!$D$2:$D$1001,Log!$B$2:$B$1001,A134,Log!$C$2:$C$1001,"Adjustment",Log!$A$2:$A$1001,"&gt;"&amp;AA134)))</f>
        <v/>
      </c>
      <c r="D134" s="32">
        <f>IF(A134="","",IF(X134&lt;&gt;"",X134,W134))</f>
        <v/>
      </c>
      <c r="E134" s="33">
        <f>IF(OR(A134="",N(O134)=0),"",C134/O134)</f>
        <v/>
      </c>
      <c r="F134" s="31">
        <f>IF(A134="","",MAX(0,N(T134)-SUMIFS(Log!$D$2:$D$1001,Log!$B$2:$B$1001,A134,Log!$C$2:$C$1001,"Received",Log!$A$2:$A$1001,"&gt;="&amp;N(U134))))</f>
        <v/>
      </c>
      <c r="G134" s="24" t="n"/>
      <c r="H134" s="24" t="n"/>
      <c r="I134" s="24" t="n"/>
      <c r="J134" s="24" t="n"/>
      <c r="K134" s="24" t="n"/>
      <c r="L134" s="34" t="n"/>
      <c r="M134" s="24" t="n"/>
      <c r="N134" s="24" t="n"/>
      <c r="O134" s="35" t="n"/>
      <c r="P134" s="25" t="n"/>
      <c r="Q134" s="36">
        <f>IF(A134="","",IF(P134&lt;&gt;"",P134,IFERROR(IF(N(INDEX(Suppliers!$E$5:$E$24,MATCH(H134,Suppliers!$B$5:$B$24,0)))&gt;0,INDEX(Suppliers!$E$5:$E$24,MATCH(H134,Suppliers!$B$5:$B$24,0)),5),5)))</f>
        <v/>
      </c>
      <c r="R134" s="35" t="n"/>
      <c r="S134" s="37" t="n"/>
      <c r="T134" s="25" t="n"/>
      <c r="U134" s="37" t="n"/>
      <c r="V134" s="37" t="n"/>
      <c r="W134" s="36">
        <f>IF(A134="","",ROUNDUP(N(O134)*(Q134/7+Settings!$C$5),0))</f>
        <v/>
      </c>
      <c r="X134" s="25" t="n"/>
      <c r="Y134" s="25" t="n"/>
      <c r="Z134" s="32">
        <f>IF(A134="","",IF(Y134&lt;&gt;"",Y134,MAX(1,ROUNDUP(N(O134)*Settings!$C$7,0))))</f>
        <v/>
      </c>
      <c r="AA134" s="38">
        <f>IF(A134="","",MAX(N(S134),_xlfn.MAXIFS(Log!$A$2:$A$1001,Log!$B$2:$B$1001,A134,Log!$C$2:$C$1001,"Count")))</f>
        <v/>
      </c>
      <c r="AB134" s="39">
        <f>IF(A134="","",Z134*N(L134))</f>
        <v/>
      </c>
      <c r="AC134" s="40">
        <f>IF(A134="","",N(O134)*52*N(L134))</f>
        <v/>
      </c>
      <c r="AD134" s="39">
        <f>IF(A134="","",C134*N(L134))</f>
        <v/>
      </c>
      <c r="AE134" s="41">
        <f>IF(A134="",0,IF(AND(OR(B134="Order now",B134="Critical"),F134=0),1,0))</f>
        <v/>
      </c>
      <c r="AF134" s="41">
        <f>IF(AE134=1,IFERROR(MATCH(H134,Suppliers!$B$5:$B$24,0),99)*1000+ROW(),"")</f>
        <v/>
      </c>
      <c r="AG134" s="41">
        <f>IF(AF134="","",COUNTIF('Stock list'!$AF$2:$AF$301,"&lt;"&amp;AF134)+1)</f>
        <v/>
      </c>
      <c r="AH134" s="41">
        <f>IF(A134="",0,IF(OR(AA134=0,AND(B134="OK",OR(C134&lt;=D134+N(O134)*Settings!$C$6,Settings!$C$10-AA134&gt;Settings!$C$8*7))),1,0))</f>
        <v/>
      </c>
      <c r="AI134" s="41">
        <f>IF(AH134=0,"",IF(AA134=0,"Never counted",IF(C134&lt;=D134+N(O134)*Settings!$C$6,"Near the reorder point","Not counted for "&amp;INT((Settings!$C$10-AA134)/7)&amp;" weeks")))</f>
        <v/>
      </c>
      <c r="AJ134" s="41">
        <f>IF(AH134=1,IFERROR(MATCH(M134,Settings!$G$19:$G$38,0),99)*1000+ROW(),"")</f>
        <v/>
      </c>
      <c r="AK134" s="41">
        <f>IF(AJ134="","",COUNTIF('Stock list'!$AJ$2:$AJ$301,"&lt;"&amp;AJ134)+1)</f>
        <v/>
      </c>
      <c r="AL134" s="41">
        <f>IF(OR(A134="",N(AC134)=0),"",AC134+ROW()/1000000)</f>
        <v/>
      </c>
    </row>
    <row r="135">
      <c r="A135" s="24" t="n"/>
      <c r="B135" s="30">
        <f>IF(A135="","",IF(AA135=0,"No count",IF(AND(N(O135)&gt;0,C135/O135*7&lt;Q135),"Critical",IF(F135&gt;0,"On order",IF(AND(D135&gt;0,C135&lt;=D135),"Order now","OK")))))</f>
        <v/>
      </c>
      <c r="C135" s="31">
        <f>IF(A135="","",MAX(0,IF(_xlfn.MAXIFS(Log!$A$2:$A$1001,Log!$B$2:$B$1001,A135,Log!$C$2:$C$1001,"Count")&gt;N(S135),_xlfn.MAXIFS(Log!$D$2:$D$1001,Log!$B$2:$B$1001,A135,Log!$C$2:$C$1001,"Count",Log!$A$2:$A$1001,AA135),N(R135))+SUMIFS(Log!$D$2:$D$1001,Log!$B$2:$B$1001,A135,Log!$C$2:$C$1001,"Received",Log!$A$2:$A$1001,"&gt;"&amp;AA135)-SUMIFS(Log!$D$2:$D$1001,Log!$B$2:$B$1001,A135,Log!$C$2:$C$1001,"Used",Log!$A$2:$A$1001,"&gt;"&amp;AA135)+SUMIFS(Log!$D$2:$D$1001,Log!$B$2:$B$1001,A135,Log!$C$2:$C$1001,"Adjustment",Log!$A$2:$A$1001,"&gt;"&amp;AA135)))</f>
        <v/>
      </c>
      <c r="D135" s="32">
        <f>IF(A135="","",IF(X135&lt;&gt;"",X135,W135))</f>
        <v/>
      </c>
      <c r="E135" s="33">
        <f>IF(OR(A135="",N(O135)=0),"",C135/O135)</f>
        <v/>
      </c>
      <c r="F135" s="31">
        <f>IF(A135="","",MAX(0,N(T135)-SUMIFS(Log!$D$2:$D$1001,Log!$B$2:$B$1001,A135,Log!$C$2:$C$1001,"Received",Log!$A$2:$A$1001,"&gt;="&amp;N(U135))))</f>
        <v/>
      </c>
      <c r="G135" s="24" t="n"/>
      <c r="H135" s="24" t="n"/>
      <c r="I135" s="24" t="n"/>
      <c r="J135" s="24" t="n"/>
      <c r="K135" s="24" t="n"/>
      <c r="L135" s="34" t="n"/>
      <c r="M135" s="24" t="n"/>
      <c r="N135" s="24" t="n"/>
      <c r="O135" s="35" t="n"/>
      <c r="P135" s="25" t="n"/>
      <c r="Q135" s="36">
        <f>IF(A135="","",IF(P135&lt;&gt;"",P135,IFERROR(IF(N(INDEX(Suppliers!$E$5:$E$24,MATCH(H135,Suppliers!$B$5:$B$24,0)))&gt;0,INDEX(Suppliers!$E$5:$E$24,MATCH(H135,Suppliers!$B$5:$B$24,0)),5),5)))</f>
        <v/>
      </c>
      <c r="R135" s="35" t="n"/>
      <c r="S135" s="37" t="n"/>
      <c r="T135" s="25" t="n"/>
      <c r="U135" s="37" t="n"/>
      <c r="V135" s="37" t="n"/>
      <c r="W135" s="36">
        <f>IF(A135="","",ROUNDUP(N(O135)*(Q135/7+Settings!$C$5),0))</f>
        <v/>
      </c>
      <c r="X135" s="25" t="n"/>
      <c r="Y135" s="25" t="n"/>
      <c r="Z135" s="32">
        <f>IF(A135="","",IF(Y135&lt;&gt;"",Y135,MAX(1,ROUNDUP(N(O135)*Settings!$C$7,0))))</f>
        <v/>
      </c>
      <c r="AA135" s="38">
        <f>IF(A135="","",MAX(N(S135),_xlfn.MAXIFS(Log!$A$2:$A$1001,Log!$B$2:$B$1001,A135,Log!$C$2:$C$1001,"Count")))</f>
        <v/>
      </c>
      <c r="AB135" s="39">
        <f>IF(A135="","",Z135*N(L135))</f>
        <v/>
      </c>
      <c r="AC135" s="40">
        <f>IF(A135="","",N(O135)*52*N(L135))</f>
        <v/>
      </c>
      <c r="AD135" s="39">
        <f>IF(A135="","",C135*N(L135))</f>
        <v/>
      </c>
      <c r="AE135" s="41">
        <f>IF(A135="",0,IF(AND(OR(B135="Order now",B135="Critical"),F135=0),1,0))</f>
        <v/>
      </c>
      <c r="AF135" s="41">
        <f>IF(AE135=1,IFERROR(MATCH(H135,Suppliers!$B$5:$B$24,0),99)*1000+ROW(),"")</f>
        <v/>
      </c>
      <c r="AG135" s="41">
        <f>IF(AF135="","",COUNTIF('Stock list'!$AF$2:$AF$301,"&lt;"&amp;AF135)+1)</f>
        <v/>
      </c>
      <c r="AH135" s="41">
        <f>IF(A135="",0,IF(OR(AA135=0,AND(B135="OK",OR(C135&lt;=D135+N(O135)*Settings!$C$6,Settings!$C$10-AA135&gt;Settings!$C$8*7))),1,0))</f>
        <v/>
      </c>
      <c r="AI135" s="41">
        <f>IF(AH135=0,"",IF(AA135=0,"Never counted",IF(C135&lt;=D135+N(O135)*Settings!$C$6,"Near the reorder point","Not counted for "&amp;INT((Settings!$C$10-AA135)/7)&amp;" weeks")))</f>
        <v/>
      </c>
      <c r="AJ135" s="41">
        <f>IF(AH135=1,IFERROR(MATCH(M135,Settings!$G$19:$G$38,0),99)*1000+ROW(),"")</f>
        <v/>
      </c>
      <c r="AK135" s="41">
        <f>IF(AJ135="","",COUNTIF('Stock list'!$AJ$2:$AJ$301,"&lt;"&amp;AJ135)+1)</f>
        <v/>
      </c>
      <c r="AL135" s="41">
        <f>IF(OR(A135="",N(AC135)=0),"",AC135+ROW()/1000000)</f>
        <v/>
      </c>
    </row>
    <row r="136">
      <c r="A136" s="24" t="n"/>
      <c r="B136" s="30">
        <f>IF(A136="","",IF(AA136=0,"No count",IF(AND(N(O136)&gt;0,C136/O136*7&lt;Q136),"Critical",IF(F136&gt;0,"On order",IF(AND(D136&gt;0,C136&lt;=D136),"Order now","OK")))))</f>
        <v/>
      </c>
      <c r="C136" s="31">
        <f>IF(A136="","",MAX(0,IF(_xlfn.MAXIFS(Log!$A$2:$A$1001,Log!$B$2:$B$1001,A136,Log!$C$2:$C$1001,"Count")&gt;N(S136),_xlfn.MAXIFS(Log!$D$2:$D$1001,Log!$B$2:$B$1001,A136,Log!$C$2:$C$1001,"Count",Log!$A$2:$A$1001,AA136),N(R136))+SUMIFS(Log!$D$2:$D$1001,Log!$B$2:$B$1001,A136,Log!$C$2:$C$1001,"Received",Log!$A$2:$A$1001,"&gt;"&amp;AA136)-SUMIFS(Log!$D$2:$D$1001,Log!$B$2:$B$1001,A136,Log!$C$2:$C$1001,"Used",Log!$A$2:$A$1001,"&gt;"&amp;AA136)+SUMIFS(Log!$D$2:$D$1001,Log!$B$2:$B$1001,A136,Log!$C$2:$C$1001,"Adjustment",Log!$A$2:$A$1001,"&gt;"&amp;AA136)))</f>
        <v/>
      </c>
      <c r="D136" s="32">
        <f>IF(A136="","",IF(X136&lt;&gt;"",X136,W136))</f>
        <v/>
      </c>
      <c r="E136" s="33">
        <f>IF(OR(A136="",N(O136)=0),"",C136/O136)</f>
        <v/>
      </c>
      <c r="F136" s="31">
        <f>IF(A136="","",MAX(0,N(T136)-SUMIFS(Log!$D$2:$D$1001,Log!$B$2:$B$1001,A136,Log!$C$2:$C$1001,"Received",Log!$A$2:$A$1001,"&gt;="&amp;N(U136))))</f>
        <v/>
      </c>
      <c r="G136" s="24" t="n"/>
      <c r="H136" s="24" t="n"/>
      <c r="I136" s="24" t="n"/>
      <c r="J136" s="24" t="n"/>
      <c r="K136" s="24" t="n"/>
      <c r="L136" s="34" t="n"/>
      <c r="M136" s="24" t="n"/>
      <c r="N136" s="24" t="n"/>
      <c r="O136" s="35" t="n"/>
      <c r="P136" s="25" t="n"/>
      <c r="Q136" s="36">
        <f>IF(A136="","",IF(P136&lt;&gt;"",P136,IFERROR(IF(N(INDEX(Suppliers!$E$5:$E$24,MATCH(H136,Suppliers!$B$5:$B$24,0)))&gt;0,INDEX(Suppliers!$E$5:$E$24,MATCH(H136,Suppliers!$B$5:$B$24,0)),5),5)))</f>
        <v/>
      </c>
      <c r="R136" s="35" t="n"/>
      <c r="S136" s="37" t="n"/>
      <c r="T136" s="25" t="n"/>
      <c r="U136" s="37" t="n"/>
      <c r="V136" s="37" t="n"/>
      <c r="W136" s="36">
        <f>IF(A136="","",ROUNDUP(N(O136)*(Q136/7+Settings!$C$5),0))</f>
        <v/>
      </c>
      <c r="X136" s="25" t="n"/>
      <c r="Y136" s="25" t="n"/>
      <c r="Z136" s="32">
        <f>IF(A136="","",IF(Y136&lt;&gt;"",Y136,MAX(1,ROUNDUP(N(O136)*Settings!$C$7,0))))</f>
        <v/>
      </c>
      <c r="AA136" s="38">
        <f>IF(A136="","",MAX(N(S136),_xlfn.MAXIFS(Log!$A$2:$A$1001,Log!$B$2:$B$1001,A136,Log!$C$2:$C$1001,"Count")))</f>
        <v/>
      </c>
      <c r="AB136" s="39">
        <f>IF(A136="","",Z136*N(L136))</f>
        <v/>
      </c>
      <c r="AC136" s="40">
        <f>IF(A136="","",N(O136)*52*N(L136))</f>
        <v/>
      </c>
      <c r="AD136" s="39">
        <f>IF(A136="","",C136*N(L136))</f>
        <v/>
      </c>
      <c r="AE136" s="41">
        <f>IF(A136="",0,IF(AND(OR(B136="Order now",B136="Critical"),F136=0),1,0))</f>
        <v/>
      </c>
      <c r="AF136" s="41">
        <f>IF(AE136=1,IFERROR(MATCH(H136,Suppliers!$B$5:$B$24,0),99)*1000+ROW(),"")</f>
        <v/>
      </c>
      <c r="AG136" s="41">
        <f>IF(AF136="","",COUNTIF('Stock list'!$AF$2:$AF$301,"&lt;"&amp;AF136)+1)</f>
        <v/>
      </c>
      <c r="AH136" s="41">
        <f>IF(A136="",0,IF(OR(AA136=0,AND(B136="OK",OR(C136&lt;=D136+N(O136)*Settings!$C$6,Settings!$C$10-AA136&gt;Settings!$C$8*7))),1,0))</f>
        <v/>
      </c>
      <c r="AI136" s="41">
        <f>IF(AH136=0,"",IF(AA136=0,"Never counted",IF(C136&lt;=D136+N(O136)*Settings!$C$6,"Near the reorder point","Not counted for "&amp;INT((Settings!$C$10-AA136)/7)&amp;" weeks")))</f>
        <v/>
      </c>
      <c r="AJ136" s="41">
        <f>IF(AH136=1,IFERROR(MATCH(M136,Settings!$G$19:$G$38,0),99)*1000+ROW(),"")</f>
        <v/>
      </c>
      <c r="AK136" s="41">
        <f>IF(AJ136="","",COUNTIF('Stock list'!$AJ$2:$AJ$301,"&lt;"&amp;AJ136)+1)</f>
        <v/>
      </c>
      <c r="AL136" s="41">
        <f>IF(OR(A136="",N(AC136)=0),"",AC136+ROW()/1000000)</f>
        <v/>
      </c>
    </row>
    <row r="137">
      <c r="A137" s="24" t="n"/>
      <c r="B137" s="30">
        <f>IF(A137="","",IF(AA137=0,"No count",IF(AND(N(O137)&gt;0,C137/O137*7&lt;Q137),"Critical",IF(F137&gt;0,"On order",IF(AND(D137&gt;0,C137&lt;=D137),"Order now","OK")))))</f>
        <v/>
      </c>
      <c r="C137" s="31">
        <f>IF(A137="","",MAX(0,IF(_xlfn.MAXIFS(Log!$A$2:$A$1001,Log!$B$2:$B$1001,A137,Log!$C$2:$C$1001,"Count")&gt;N(S137),_xlfn.MAXIFS(Log!$D$2:$D$1001,Log!$B$2:$B$1001,A137,Log!$C$2:$C$1001,"Count",Log!$A$2:$A$1001,AA137),N(R137))+SUMIFS(Log!$D$2:$D$1001,Log!$B$2:$B$1001,A137,Log!$C$2:$C$1001,"Received",Log!$A$2:$A$1001,"&gt;"&amp;AA137)-SUMIFS(Log!$D$2:$D$1001,Log!$B$2:$B$1001,A137,Log!$C$2:$C$1001,"Used",Log!$A$2:$A$1001,"&gt;"&amp;AA137)+SUMIFS(Log!$D$2:$D$1001,Log!$B$2:$B$1001,A137,Log!$C$2:$C$1001,"Adjustment",Log!$A$2:$A$1001,"&gt;"&amp;AA137)))</f>
        <v/>
      </c>
      <c r="D137" s="32">
        <f>IF(A137="","",IF(X137&lt;&gt;"",X137,W137))</f>
        <v/>
      </c>
      <c r="E137" s="33">
        <f>IF(OR(A137="",N(O137)=0),"",C137/O137)</f>
        <v/>
      </c>
      <c r="F137" s="31">
        <f>IF(A137="","",MAX(0,N(T137)-SUMIFS(Log!$D$2:$D$1001,Log!$B$2:$B$1001,A137,Log!$C$2:$C$1001,"Received",Log!$A$2:$A$1001,"&gt;="&amp;N(U137))))</f>
        <v/>
      </c>
      <c r="G137" s="24" t="n"/>
      <c r="H137" s="24" t="n"/>
      <c r="I137" s="24" t="n"/>
      <c r="J137" s="24" t="n"/>
      <c r="K137" s="24" t="n"/>
      <c r="L137" s="34" t="n"/>
      <c r="M137" s="24" t="n"/>
      <c r="N137" s="24" t="n"/>
      <c r="O137" s="35" t="n"/>
      <c r="P137" s="25" t="n"/>
      <c r="Q137" s="36">
        <f>IF(A137="","",IF(P137&lt;&gt;"",P137,IFERROR(IF(N(INDEX(Suppliers!$E$5:$E$24,MATCH(H137,Suppliers!$B$5:$B$24,0)))&gt;0,INDEX(Suppliers!$E$5:$E$24,MATCH(H137,Suppliers!$B$5:$B$24,0)),5),5)))</f>
        <v/>
      </c>
      <c r="R137" s="35" t="n"/>
      <c r="S137" s="37" t="n"/>
      <c r="T137" s="25" t="n"/>
      <c r="U137" s="37" t="n"/>
      <c r="V137" s="37" t="n"/>
      <c r="W137" s="36">
        <f>IF(A137="","",ROUNDUP(N(O137)*(Q137/7+Settings!$C$5),0))</f>
        <v/>
      </c>
      <c r="X137" s="25" t="n"/>
      <c r="Y137" s="25" t="n"/>
      <c r="Z137" s="32">
        <f>IF(A137="","",IF(Y137&lt;&gt;"",Y137,MAX(1,ROUNDUP(N(O137)*Settings!$C$7,0))))</f>
        <v/>
      </c>
      <c r="AA137" s="38">
        <f>IF(A137="","",MAX(N(S137),_xlfn.MAXIFS(Log!$A$2:$A$1001,Log!$B$2:$B$1001,A137,Log!$C$2:$C$1001,"Count")))</f>
        <v/>
      </c>
      <c r="AB137" s="39">
        <f>IF(A137="","",Z137*N(L137))</f>
        <v/>
      </c>
      <c r="AC137" s="40">
        <f>IF(A137="","",N(O137)*52*N(L137))</f>
        <v/>
      </c>
      <c r="AD137" s="39">
        <f>IF(A137="","",C137*N(L137))</f>
        <v/>
      </c>
      <c r="AE137" s="41">
        <f>IF(A137="",0,IF(AND(OR(B137="Order now",B137="Critical"),F137=0),1,0))</f>
        <v/>
      </c>
      <c r="AF137" s="41">
        <f>IF(AE137=1,IFERROR(MATCH(H137,Suppliers!$B$5:$B$24,0),99)*1000+ROW(),"")</f>
        <v/>
      </c>
      <c r="AG137" s="41">
        <f>IF(AF137="","",COUNTIF('Stock list'!$AF$2:$AF$301,"&lt;"&amp;AF137)+1)</f>
        <v/>
      </c>
      <c r="AH137" s="41">
        <f>IF(A137="",0,IF(OR(AA137=0,AND(B137="OK",OR(C137&lt;=D137+N(O137)*Settings!$C$6,Settings!$C$10-AA137&gt;Settings!$C$8*7))),1,0))</f>
        <v/>
      </c>
      <c r="AI137" s="41">
        <f>IF(AH137=0,"",IF(AA137=0,"Never counted",IF(C137&lt;=D137+N(O137)*Settings!$C$6,"Near the reorder point","Not counted for "&amp;INT((Settings!$C$10-AA137)/7)&amp;" weeks")))</f>
        <v/>
      </c>
      <c r="AJ137" s="41">
        <f>IF(AH137=1,IFERROR(MATCH(M137,Settings!$G$19:$G$38,0),99)*1000+ROW(),"")</f>
        <v/>
      </c>
      <c r="AK137" s="41">
        <f>IF(AJ137="","",COUNTIF('Stock list'!$AJ$2:$AJ$301,"&lt;"&amp;AJ137)+1)</f>
        <v/>
      </c>
      <c r="AL137" s="41">
        <f>IF(OR(A137="",N(AC137)=0),"",AC137+ROW()/1000000)</f>
        <v/>
      </c>
    </row>
    <row r="138">
      <c r="A138" s="24" t="n"/>
      <c r="B138" s="30">
        <f>IF(A138="","",IF(AA138=0,"No count",IF(AND(N(O138)&gt;0,C138/O138*7&lt;Q138),"Critical",IF(F138&gt;0,"On order",IF(AND(D138&gt;0,C138&lt;=D138),"Order now","OK")))))</f>
        <v/>
      </c>
      <c r="C138" s="31">
        <f>IF(A138="","",MAX(0,IF(_xlfn.MAXIFS(Log!$A$2:$A$1001,Log!$B$2:$B$1001,A138,Log!$C$2:$C$1001,"Count")&gt;N(S138),_xlfn.MAXIFS(Log!$D$2:$D$1001,Log!$B$2:$B$1001,A138,Log!$C$2:$C$1001,"Count",Log!$A$2:$A$1001,AA138),N(R138))+SUMIFS(Log!$D$2:$D$1001,Log!$B$2:$B$1001,A138,Log!$C$2:$C$1001,"Received",Log!$A$2:$A$1001,"&gt;"&amp;AA138)-SUMIFS(Log!$D$2:$D$1001,Log!$B$2:$B$1001,A138,Log!$C$2:$C$1001,"Used",Log!$A$2:$A$1001,"&gt;"&amp;AA138)+SUMIFS(Log!$D$2:$D$1001,Log!$B$2:$B$1001,A138,Log!$C$2:$C$1001,"Adjustment",Log!$A$2:$A$1001,"&gt;"&amp;AA138)))</f>
        <v/>
      </c>
      <c r="D138" s="32">
        <f>IF(A138="","",IF(X138&lt;&gt;"",X138,W138))</f>
        <v/>
      </c>
      <c r="E138" s="33">
        <f>IF(OR(A138="",N(O138)=0),"",C138/O138)</f>
        <v/>
      </c>
      <c r="F138" s="31">
        <f>IF(A138="","",MAX(0,N(T138)-SUMIFS(Log!$D$2:$D$1001,Log!$B$2:$B$1001,A138,Log!$C$2:$C$1001,"Received",Log!$A$2:$A$1001,"&gt;="&amp;N(U138))))</f>
        <v/>
      </c>
      <c r="G138" s="24" t="n"/>
      <c r="H138" s="24" t="n"/>
      <c r="I138" s="24" t="n"/>
      <c r="J138" s="24" t="n"/>
      <c r="K138" s="24" t="n"/>
      <c r="L138" s="34" t="n"/>
      <c r="M138" s="24" t="n"/>
      <c r="N138" s="24" t="n"/>
      <c r="O138" s="35" t="n"/>
      <c r="P138" s="25" t="n"/>
      <c r="Q138" s="36">
        <f>IF(A138="","",IF(P138&lt;&gt;"",P138,IFERROR(IF(N(INDEX(Suppliers!$E$5:$E$24,MATCH(H138,Suppliers!$B$5:$B$24,0)))&gt;0,INDEX(Suppliers!$E$5:$E$24,MATCH(H138,Suppliers!$B$5:$B$24,0)),5),5)))</f>
        <v/>
      </c>
      <c r="R138" s="35" t="n"/>
      <c r="S138" s="37" t="n"/>
      <c r="T138" s="25" t="n"/>
      <c r="U138" s="37" t="n"/>
      <c r="V138" s="37" t="n"/>
      <c r="W138" s="36">
        <f>IF(A138="","",ROUNDUP(N(O138)*(Q138/7+Settings!$C$5),0))</f>
        <v/>
      </c>
      <c r="X138" s="25" t="n"/>
      <c r="Y138" s="25" t="n"/>
      <c r="Z138" s="32">
        <f>IF(A138="","",IF(Y138&lt;&gt;"",Y138,MAX(1,ROUNDUP(N(O138)*Settings!$C$7,0))))</f>
        <v/>
      </c>
      <c r="AA138" s="38">
        <f>IF(A138="","",MAX(N(S138),_xlfn.MAXIFS(Log!$A$2:$A$1001,Log!$B$2:$B$1001,A138,Log!$C$2:$C$1001,"Count")))</f>
        <v/>
      </c>
      <c r="AB138" s="39">
        <f>IF(A138="","",Z138*N(L138))</f>
        <v/>
      </c>
      <c r="AC138" s="40">
        <f>IF(A138="","",N(O138)*52*N(L138))</f>
        <v/>
      </c>
      <c r="AD138" s="39">
        <f>IF(A138="","",C138*N(L138))</f>
        <v/>
      </c>
      <c r="AE138" s="41">
        <f>IF(A138="",0,IF(AND(OR(B138="Order now",B138="Critical"),F138=0),1,0))</f>
        <v/>
      </c>
      <c r="AF138" s="41">
        <f>IF(AE138=1,IFERROR(MATCH(H138,Suppliers!$B$5:$B$24,0),99)*1000+ROW(),"")</f>
        <v/>
      </c>
      <c r="AG138" s="41">
        <f>IF(AF138="","",COUNTIF('Stock list'!$AF$2:$AF$301,"&lt;"&amp;AF138)+1)</f>
        <v/>
      </c>
      <c r="AH138" s="41">
        <f>IF(A138="",0,IF(OR(AA138=0,AND(B138="OK",OR(C138&lt;=D138+N(O138)*Settings!$C$6,Settings!$C$10-AA138&gt;Settings!$C$8*7))),1,0))</f>
        <v/>
      </c>
      <c r="AI138" s="41">
        <f>IF(AH138=0,"",IF(AA138=0,"Never counted",IF(C138&lt;=D138+N(O138)*Settings!$C$6,"Near the reorder point","Not counted for "&amp;INT((Settings!$C$10-AA138)/7)&amp;" weeks")))</f>
        <v/>
      </c>
      <c r="AJ138" s="41">
        <f>IF(AH138=1,IFERROR(MATCH(M138,Settings!$G$19:$G$38,0),99)*1000+ROW(),"")</f>
        <v/>
      </c>
      <c r="AK138" s="41">
        <f>IF(AJ138="","",COUNTIF('Stock list'!$AJ$2:$AJ$301,"&lt;"&amp;AJ138)+1)</f>
        <v/>
      </c>
      <c r="AL138" s="41">
        <f>IF(OR(A138="",N(AC138)=0),"",AC138+ROW()/1000000)</f>
        <v/>
      </c>
    </row>
    <row r="139">
      <c r="A139" s="24" t="n"/>
      <c r="B139" s="30">
        <f>IF(A139="","",IF(AA139=0,"No count",IF(AND(N(O139)&gt;0,C139/O139*7&lt;Q139),"Critical",IF(F139&gt;0,"On order",IF(AND(D139&gt;0,C139&lt;=D139),"Order now","OK")))))</f>
        <v/>
      </c>
      <c r="C139" s="31">
        <f>IF(A139="","",MAX(0,IF(_xlfn.MAXIFS(Log!$A$2:$A$1001,Log!$B$2:$B$1001,A139,Log!$C$2:$C$1001,"Count")&gt;N(S139),_xlfn.MAXIFS(Log!$D$2:$D$1001,Log!$B$2:$B$1001,A139,Log!$C$2:$C$1001,"Count",Log!$A$2:$A$1001,AA139),N(R139))+SUMIFS(Log!$D$2:$D$1001,Log!$B$2:$B$1001,A139,Log!$C$2:$C$1001,"Received",Log!$A$2:$A$1001,"&gt;"&amp;AA139)-SUMIFS(Log!$D$2:$D$1001,Log!$B$2:$B$1001,A139,Log!$C$2:$C$1001,"Used",Log!$A$2:$A$1001,"&gt;"&amp;AA139)+SUMIFS(Log!$D$2:$D$1001,Log!$B$2:$B$1001,A139,Log!$C$2:$C$1001,"Adjustment",Log!$A$2:$A$1001,"&gt;"&amp;AA139)))</f>
        <v/>
      </c>
      <c r="D139" s="32">
        <f>IF(A139="","",IF(X139&lt;&gt;"",X139,W139))</f>
        <v/>
      </c>
      <c r="E139" s="33">
        <f>IF(OR(A139="",N(O139)=0),"",C139/O139)</f>
        <v/>
      </c>
      <c r="F139" s="31">
        <f>IF(A139="","",MAX(0,N(T139)-SUMIFS(Log!$D$2:$D$1001,Log!$B$2:$B$1001,A139,Log!$C$2:$C$1001,"Received",Log!$A$2:$A$1001,"&gt;="&amp;N(U139))))</f>
        <v/>
      </c>
      <c r="G139" s="24" t="n"/>
      <c r="H139" s="24" t="n"/>
      <c r="I139" s="24" t="n"/>
      <c r="J139" s="24" t="n"/>
      <c r="K139" s="24" t="n"/>
      <c r="L139" s="34" t="n"/>
      <c r="M139" s="24" t="n"/>
      <c r="N139" s="24" t="n"/>
      <c r="O139" s="35" t="n"/>
      <c r="P139" s="25" t="n"/>
      <c r="Q139" s="36">
        <f>IF(A139="","",IF(P139&lt;&gt;"",P139,IFERROR(IF(N(INDEX(Suppliers!$E$5:$E$24,MATCH(H139,Suppliers!$B$5:$B$24,0)))&gt;0,INDEX(Suppliers!$E$5:$E$24,MATCH(H139,Suppliers!$B$5:$B$24,0)),5),5)))</f>
        <v/>
      </c>
      <c r="R139" s="35" t="n"/>
      <c r="S139" s="37" t="n"/>
      <c r="T139" s="25" t="n"/>
      <c r="U139" s="37" t="n"/>
      <c r="V139" s="37" t="n"/>
      <c r="W139" s="36">
        <f>IF(A139="","",ROUNDUP(N(O139)*(Q139/7+Settings!$C$5),0))</f>
        <v/>
      </c>
      <c r="X139" s="25" t="n"/>
      <c r="Y139" s="25" t="n"/>
      <c r="Z139" s="32">
        <f>IF(A139="","",IF(Y139&lt;&gt;"",Y139,MAX(1,ROUNDUP(N(O139)*Settings!$C$7,0))))</f>
        <v/>
      </c>
      <c r="AA139" s="38">
        <f>IF(A139="","",MAX(N(S139),_xlfn.MAXIFS(Log!$A$2:$A$1001,Log!$B$2:$B$1001,A139,Log!$C$2:$C$1001,"Count")))</f>
        <v/>
      </c>
      <c r="AB139" s="39">
        <f>IF(A139="","",Z139*N(L139))</f>
        <v/>
      </c>
      <c r="AC139" s="40">
        <f>IF(A139="","",N(O139)*52*N(L139))</f>
        <v/>
      </c>
      <c r="AD139" s="39">
        <f>IF(A139="","",C139*N(L139))</f>
        <v/>
      </c>
      <c r="AE139" s="41">
        <f>IF(A139="",0,IF(AND(OR(B139="Order now",B139="Critical"),F139=0),1,0))</f>
        <v/>
      </c>
      <c r="AF139" s="41">
        <f>IF(AE139=1,IFERROR(MATCH(H139,Suppliers!$B$5:$B$24,0),99)*1000+ROW(),"")</f>
        <v/>
      </c>
      <c r="AG139" s="41">
        <f>IF(AF139="","",COUNTIF('Stock list'!$AF$2:$AF$301,"&lt;"&amp;AF139)+1)</f>
        <v/>
      </c>
      <c r="AH139" s="41">
        <f>IF(A139="",0,IF(OR(AA139=0,AND(B139="OK",OR(C139&lt;=D139+N(O139)*Settings!$C$6,Settings!$C$10-AA139&gt;Settings!$C$8*7))),1,0))</f>
        <v/>
      </c>
      <c r="AI139" s="41">
        <f>IF(AH139=0,"",IF(AA139=0,"Never counted",IF(C139&lt;=D139+N(O139)*Settings!$C$6,"Near the reorder point","Not counted for "&amp;INT((Settings!$C$10-AA139)/7)&amp;" weeks")))</f>
        <v/>
      </c>
      <c r="AJ139" s="41">
        <f>IF(AH139=1,IFERROR(MATCH(M139,Settings!$G$19:$G$38,0),99)*1000+ROW(),"")</f>
        <v/>
      </c>
      <c r="AK139" s="41">
        <f>IF(AJ139="","",COUNTIF('Stock list'!$AJ$2:$AJ$301,"&lt;"&amp;AJ139)+1)</f>
        <v/>
      </c>
      <c r="AL139" s="41">
        <f>IF(OR(A139="",N(AC139)=0),"",AC139+ROW()/1000000)</f>
        <v/>
      </c>
    </row>
    <row r="140">
      <c r="A140" s="24" t="n"/>
      <c r="B140" s="30">
        <f>IF(A140="","",IF(AA140=0,"No count",IF(AND(N(O140)&gt;0,C140/O140*7&lt;Q140),"Critical",IF(F140&gt;0,"On order",IF(AND(D140&gt;0,C140&lt;=D140),"Order now","OK")))))</f>
        <v/>
      </c>
      <c r="C140" s="31">
        <f>IF(A140="","",MAX(0,IF(_xlfn.MAXIFS(Log!$A$2:$A$1001,Log!$B$2:$B$1001,A140,Log!$C$2:$C$1001,"Count")&gt;N(S140),_xlfn.MAXIFS(Log!$D$2:$D$1001,Log!$B$2:$B$1001,A140,Log!$C$2:$C$1001,"Count",Log!$A$2:$A$1001,AA140),N(R140))+SUMIFS(Log!$D$2:$D$1001,Log!$B$2:$B$1001,A140,Log!$C$2:$C$1001,"Received",Log!$A$2:$A$1001,"&gt;"&amp;AA140)-SUMIFS(Log!$D$2:$D$1001,Log!$B$2:$B$1001,A140,Log!$C$2:$C$1001,"Used",Log!$A$2:$A$1001,"&gt;"&amp;AA140)+SUMIFS(Log!$D$2:$D$1001,Log!$B$2:$B$1001,A140,Log!$C$2:$C$1001,"Adjustment",Log!$A$2:$A$1001,"&gt;"&amp;AA140)))</f>
        <v/>
      </c>
      <c r="D140" s="32">
        <f>IF(A140="","",IF(X140&lt;&gt;"",X140,W140))</f>
        <v/>
      </c>
      <c r="E140" s="33">
        <f>IF(OR(A140="",N(O140)=0),"",C140/O140)</f>
        <v/>
      </c>
      <c r="F140" s="31">
        <f>IF(A140="","",MAX(0,N(T140)-SUMIFS(Log!$D$2:$D$1001,Log!$B$2:$B$1001,A140,Log!$C$2:$C$1001,"Received",Log!$A$2:$A$1001,"&gt;="&amp;N(U140))))</f>
        <v/>
      </c>
      <c r="G140" s="24" t="n"/>
      <c r="H140" s="24" t="n"/>
      <c r="I140" s="24" t="n"/>
      <c r="J140" s="24" t="n"/>
      <c r="K140" s="24" t="n"/>
      <c r="L140" s="34" t="n"/>
      <c r="M140" s="24" t="n"/>
      <c r="N140" s="24" t="n"/>
      <c r="O140" s="35" t="n"/>
      <c r="P140" s="25" t="n"/>
      <c r="Q140" s="36">
        <f>IF(A140="","",IF(P140&lt;&gt;"",P140,IFERROR(IF(N(INDEX(Suppliers!$E$5:$E$24,MATCH(H140,Suppliers!$B$5:$B$24,0)))&gt;0,INDEX(Suppliers!$E$5:$E$24,MATCH(H140,Suppliers!$B$5:$B$24,0)),5),5)))</f>
        <v/>
      </c>
      <c r="R140" s="35" t="n"/>
      <c r="S140" s="37" t="n"/>
      <c r="T140" s="25" t="n"/>
      <c r="U140" s="37" t="n"/>
      <c r="V140" s="37" t="n"/>
      <c r="W140" s="36">
        <f>IF(A140="","",ROUNDUP(N(O140)*(Q140/7+Settings!$C$5),0))</f>
        <v/>
      </c>
      <c r="X140" s="25" t="n"/>
      <c r="Y140" s="25" t="n"/>
      <c r="Z140" s="32">
        <f>IF(A140="","",IF(Y140&lt;&gt;"",Y140,MAX(1,ROUNDUP(N(O140)*Settings!$C$7,0))))</f>
        <v/>
      </c>
      <c r="AA140" s="38">
        <f>IF(A140="","",MAX(N(S140),_xlfn.MAXIFS(Log!$A$2:$A$1001,Log!$B$2:$B$1001,A140,Log!$C$2:$C$1001,"Count")))</f>
        <v/>
      </c>
      <c r="AB140" s="39">
        <f>IF(A140="","",Z140*N(L140))</f>
        <v/>
      </c>
      <c r="AC140" s="40">
        <f>IF(A140="","",N(O140)*52*N(L140))</f>
        <v/>
      </c>
      <c r="AD140" s="39">
        <f>IF(A140="","",C140*N(L140))</f>
        <v/>
      </c>
      <c r="AE140" s="41">
        <f>IF(A140="",0,IF(AND(OR(B140="Order now",B140="Critical"),F140=0),1,0))</f>
        <v/>
      </c>
      <c r="AF140" s="41">
        <f>IF(AE140=1,IFERROR(MATCH(H140,Suppliers!$B$5:$B$24,0),99)*1000+ROW(),"")</f>
        <v/>
      </c>
      <c r="AG140" s="41">
        <f>IF(AF140="","",COUNTIF('Stock list'!$AF$2:$AF$301,"&lt;"&amp;AF140)+1)</f>
        <v/>
      </c>
      <c r="AH140" s="41">
        <f>IF(A140="",0,IF(OR(AA140=0,AND(B140="OK",OR(C140&lt;=D140+N(O140)*Settings!$C$6,Settings!$C$10-AA140&gt;Settings!$C$8*7))),1,0))</f>
        <v/>
      </c>
      <c r="AI140" s="41">
        <f>IF(AH140=0,"",IF(AA140=0,"Never counted",IF(C140&lt;=D140+N(O140)*Settings!$C$6,"Near the reorder point","Not counted for "&amp;INT((Settings!$C$10-AA140)/7)&amp;" weeks")))</f>
        <v/>
      </c>
      <c r="AJ140" s="41">
        <f>IF(AH140=1,IFERROR(MATCH(M140,Settings!$G$19:$G$38,0),99)*1000+ROW(),"")</f>
        <v/>
      </c>
      <c r="AK140" s="41">
        <f>IF(AJ140="","",COUNTIF('Stock list'!$AJ$2:$AJ$301,"&lt;"&amp;AJ140)+1)</f>
        <v/>
      </c>
      <c r="AL140" s="41">
        <f>IF(OR(A140="",N(AC140)=0),"",AC140+ROW()/1000000)</f>
        <v/>
      </c>
    </row>
    <row r="141">
      <c r="A141" s="24" t="n"/>
      <c r="B141" s="30">
        <f>IF(A141="","",IF(AA141=0,"No count",IF(AND(N(O141)&gt;0,C141/O141*7&lt;Q141),"Critical",IF(F141&gt;0,"On order",IF(AND(D141&gt;0,C141&lt;=D141),"Order now","OK")))))</f>
        <v/>
      </c>
      <c r="C141" s="31">
        <f>IF(A141="","",MAX(0,IF(_xlfn.MAXIFS(Log!$A$2:$A$1001,Log!$B$2:$B$1001,A141,Log!$C$2:$C$1001,"Count")&gt;N(S141),_xlfn.MAXIFS(Log!$D$2:$D$1001,Log!$B$2:$B$1001,A141,Log!$C$2:$C$1001,"Count",Log!$A$2:$A$1001,AA141),N(R141))+SUMIFS(Log!$D$2:$D$1001,Log!$B$2:$B$1001,A141,Log!$C$2:$C$1001,"Received",Log!$A$2:$A$1001,"&gt;"&amp;AA141)-SUMIFS(Log!$D$2:$D$1001,Log!$B$2:$B$1001,A141,Log!$C$2:$C$1001,"Used",Log!$A$2:$A$1001,"&gt;"&amp;AA141)+SUMIFS(Log!$D$2:$D$1001,Log!$B$2:$B$1001,A141,Log!$C$2:$C$1001,"Adjustment",Log!$A$2:$A$1001,"&gt;"&amp;AA141)))</f>
        <v/>
      </c>
      <c r="D141" s="32">
        <f>IF(A141="","",IF(X141&lt;&gt;"",X141,W141))</f>
        <v/>
      </c>
      <c r="E141" s="33">
        <f>IF(OR(A141="",N(O141)=0),"",C141/O141)</f>
        <v/>
      </c>
      <c r="F141" s="31">
        <f>IF(A141="","",MAX(0,N(T141)-SUMIFS(Log!$D$2:$D$1001,Log!$B$2:$B$1001,A141,Log!$C$2:$C$1001,"Received",Log!$A$2:$A$1001,"&gt;="&amp;N(U141))))</f>
        <v/>
      </c>
      <c r="G141" s="24" t="n"/>
      <c r="H141" s="24" t="n"/>
      <c r="I141" s="24" t="n"/>
      <c r="J141" s="24" t="n"/>
      <c r="K141" s="24" t="n"/>
      <c r="L141" s="34" t="n"/>
      <c r="M141" s="24" t="n"/>
      <c r="N141" s="24" t="n"/>
      <c r="O141" s="35" t="n"/>
      <c r="P141" s="25" t="n"/>
      <c r="Q141" s="36">
        <f>IF(A141="","",IF(P141&lt;&gt;"",P141,IFERROR(IF(N(INDEX(Suppliers!$E$5:$E$24,MATCH(H141,Suppliers!$B$5:$B$24,0)))&gt;0,INDEX(Suppliers!$E$5:$E$24,MATCH(H141,Suppliers!$B$5:$B$24,0)),5),5)))</f>
        <v/>
      </c>
      <c r="R141" s="35" t="n"/>
      <c r="S141" s="37" t="n"/>
      <c r="T141" s="25" t="n"/>
      <c r="U141" s="37" t="n"/>
      <c r="V141" s="37" t="n"/>
      <c r="W141" s="36">
        <f>IF(A141="","",ROUNDUP(N(O141)*(Q141/7+Settings!$C$5),0))</f>
        <v/>
      </c>
      <c r="X141" s="25" t="n"/>
      <c r="Y141" s="25" t="n"/>
      <c r="Z141" s="32">
        <f>IF(A141="","",IF(Y141&lt;&gt;"",Y141,MAX(1,ROUNDUP(N(O141)*Settings!$C$7,0))))</f>
        <v/>
      </c>
      <c r="AA141" s="38">
        <f>IF(A141="","",MAX(N(S141),_xlfn.MAXIFS(Log!$A$2:$A$1001,Log!$B$2:$B$1001,A141,Log!$C$2:$C$1001,"Count")))</f>
        <v/>
      </c>
      <c r="AB141" s="39">
        <f>IF(A141="","",Z141*N(L141))</f>
        <v/>
      </c>
      <c r="AC141" s="40">
        <f>IF(A141="","",N(O141)*52*N(L141))</f>
        <v/>
      </c>
      <c r="AD141" s="39">
        <f>IF(A141="","",C141*N(L141))</f>
        <v/>
      </c>
      <c r="AE141" s="41">
        <f>IF(A141="",0,IF(AND(OR(B141="Order now",B141="Critical"),F141=0),1,0))</f>
        <v/>
      </c>
      <c r="AF141" s="41">
        <f>IF(AE141=1,IFERROR(MATCH(H141,Suppliers!$B$5:$B$24,0),99)*1000+ROW(),"")</f>
        <v/>
      </c>
      <c r="AG141" s="41">
        <f>IF(AF141="","",COUNTIF('Stock list'!$AF$2:$AF$301,"&lt;"&amp;AF141)+1)</f>
        <v/>
      </c>
      <c r="AH141" s="41">
        <f>IF(A141="",0,IF(OR(AA141=0,AND(B141="OK",OR(C141&lt;=D141+N(O141)*Settings!$C$6,Settings!$C$10-AA141&gt;Settings!$C$8*7))),1,0))</f>
        <v/>
      </c>
      <c r="AI141" s="41">
        <f>IF(AH141=0,"",IF(AA141=0,"Never counted",IF(C141&lt;=D141+N(O141)*Settings!$C$6,"Near the reorder point","Not counted for "&amp;INT((Settings!$C$10-AA141)/7)&amp;" weeks")))</f>
        <v/>
      </c>
      <c r="AJ141" s="41">
        <f>IF(AH141=1,IFERROR(MATCH(M141,Settings!$G$19:$G$38,0),99)*1000+ROW(),"")</f>
        <v/>
      </c>
      <c r="AK141" s="41">
        <f>IF(AJ141="","",COUNTIF('Stock list'!$AJ$2:$AJ$301,"&lt;"&amp;AJ141)+1)</f>
        <v/>
      </c>
      <c r="AL141" s="41">
        <f>IF(OR(A141="",N(AC141)=0),"",AC141+ROW()/1000000)</f>
        <v/>
      </c>
    </row>
    <row r="142">
      <c r="A142" s="24" t="n"/>
      <c r="B142" s="30">
        <f>IF(A142="","",IF(AA142=0,"No count",IF(AND(N(O142)&gt;0,C142/O142*7&lt;Q142),"Critical",IF(F142&gt;0,"On order",IF(AND(D142&gt;0,C142&lt;=D142),"Order now","OK")))))</f>
        <v/>
      </c>
      <c r="C142" s="31">
        <f>IF(A142="","",MAX(0,IF(_xlfn.MAXIFS(Log!$A$2:$A$1001,Log!$B$2:$B$1001,A142,Log!$C$2:$C$1001,"Count")&gt;N(S142),_xlfn.MAXIFS(Log!$D$2:$D$1001,Log!$B$2:$B$1001,A142,Log!$C$2:$C$1001,"Count",Log!$A$2:$A$1001,AA142),N(R142))+SUMIFS(Log!$D$2:$D$1001,Log!$B$2:$B$1001,A142,Log!$C$2:$C$1001,"Received",Log!$A$2:$A$1001,"&gt;"&amp;AA142)-SUMIFS(Log!$D$2:$D$1001,Log!$B$2:$B$1001,A142,Log!$C$2:$C$1001,"Used",Log!$A$2:$A$1001,"&gt;"&amp;AA142)+SUMIFS(Log!$D$2:$D$1001,Log!$B$2:$B$1001,A142,Log!$C$2:$C$1001,"Adjustment",Log!$A$2:$A$1001,"&gt;"&amp;AA142)))</f>
        <v/>
      </c>
      <c r="D142" s="32">
        <f>IF(A142="","",IF(X142&lt;&gt;"",X142,W142))</f>
        <v/>
      </c>
      <c r="E142" s="33">
        <f>IF(OR(A142="",N(O142)=0),"",C142/O142)</f>
        <v/>
      </c>
      <c r="F142" s="31">
        <f>IF(A142="","",MAX(0,N(T142)-SUMIFS(Log!$D$2:$D$1001,Log!$B$2:$B$1001,A142,Log!$C$2:$C$1001,"Received",Log!$A$2:$A$1001,"&gt;="&amp;N(U142))))</f>
        <v/>
      </c>
      <c r="G142" s="24" t="n"/>
      <c r="H142" s="24" t="n"/>
      <c r="I142" s="24" t="n"/>
      <c r="J142" s="24" t="n"/>
      <c r="K142" s="24" t="n"/>
      <c r="L142" s="34" t="n"/>
      <c r="M142" s="24" t="n"/>
      <c r="N142" s="24" t="n"/>
      <c r="O142" s="35" t="n"/>
      <c r="P142" s="25" t="n"/>
      <c r="Q142" s="36">
        <f>IF(A142="","",IF(P142&lt;&gt;"",P142,IFERROR(IF(N(INDEX(Suppliers!$E$5:$E$24,MATCH(H142,Suppliers!$B$5:$B$24,0)))&gt;0,INDEX(Suppliers!$E$5:$E$24,MATCH(H142,Suppliers!$B$5:$B$24,0)),5),5)))</f>
        <v/>
      </c>
      <c r="R142" s="35" t="n"/>
      <c r="S142" s="37" t="n"/>
      <c r="T142" s="25" t="n"/>
      <c r="U142" s="37" t="n"/>
      <c r="V142" s="37" t="n"/>
      <c r="W142" s="36">
        <f>IF(A142="","",ROUNDUP(N(O142)*(Q142/7+Settings!$C$5),0))</f>
        <v/>
      </c>
      <c r="X142" s="25" t="n"/>
      <c r="Y142" s="25" t="n"/>
      <c r="Z142" s="32">
        <f>IF(A142="","",IF(Y142&lt;&gt;"",Y142,MAX(1,ROUNDUP(N(O142)*Settings!$C$7,0))))</f>
        <v/>
      </c>
      <c r="AA142" s="38">
        <f>IF(A142="","",MAX(N(S142),_xlfn.MAXIFS(Log!$A$2:$A$1001,Log!$B$2:$B$1001,A142,Log!$C$2:$C$1001,"Count")))</f>
        <v/>
      </c>
      <c r="AB142" s="39">
        <f>IF(A142="","",Z142*N(L142))</f>
        <v/>
      </c>
      <c r="AC142" s="40">
        <f>IF(A142="","",N(O142)*52*N(L142))</f>
        <v/>
      </c>
      <c r="AD142" s="39">
        <f>IF(A142="","",C142*N(L142))</f>
        <v/>
      </c>
      <c r="AE142" s="41">
        <f>IF(A142="",0,IF(AND(OR(B142="Order now",B142="Critical"),F142=0),1,0))</f>
        <v/>
      </c>
      <c r="AF142" s="41">
        <f>IF(AE142=1,IFERROR(MATCH(H142,Suppliers!$B$5:$B$24,0),99)*1000+ROW(),"")</f>
        <v/>
      </c>
      <c r="AG142" s="41">
        <f>IF(AF142="","",COUNTIF('Stock list'!$AF$2:$AF$301,"&lt;"&amp;AF142)+1)</f>
        <v/>
      </c>
      <c r="AH142" s="41">
        <f>IF(A142="",0,IF(OR(AA142=0,AND(B142="OK",OR(C142&lt;=D142+N(O142)*Settings!$C$6,Settings!$C$10-AA142&gt;Settings!$C$8*7))),1,0))</f>
        <v/>
      </c>
      <c r="AI142" s="41">
        <f>IF(AH142=0,"",IF(AA142=0,"Never counted",IF(C142&lt;=D142+N(O142)*Settings!$C$6,"Near the reorder point","Not counted for "&amp;INT((Settings!$C$10-AA142)/7)&amp;" weeks")))</f>
        <v/>
      </c>
      <c r="AJ142" s="41">
        <f>IF(AH142=1,IFERROR(MATCH(M142,Settings!$G$19:$G$38,0),99)*1000+ROW(),"")</f>
        <v/>
      </c>
      <c r="AK142" s="41">
        <f>IF(AJ142="","",COUNTIF('Stock list'!$AJ$2:$AJ$301,"&lt;"&amp;AJ142)+1)</f>
        <v/>
      </c>
      <c r="AL142" s="41">
        <f>IF(OR(A142="",N(AC142)=0),"",AC142+ROW()/1000000)</f>
        <v/>
      </c>
    </row>
    <row r="143">
      <c r="A143" s="24" t="n"/>
      <c r="B143" s="30">
        <f>IF(A143="","",IF(AA143=0,"No count",IF(AND(N(O143)&gt;0,C143/O143*7&lt;Q143),"Critical",IF(F143&gt;0,"On order",IF(AND(D143&gt;0,C143&lt;=D143),"Order now","OK")))))</f>
        <v/>
      </c>
      <c r="C143" s="31">
        <f>IF(A143="","",MAX(0,IF(_xlfn.MAXIFS(Log!$A$2:$A$1001,Log!$B$2:$B$1001,A143,Log!$C$2:$C$1001,"Count")&gt;N(S143),_xlfn.MAXIFS(Log!$D$2:$D$1001,Log!$B$2:$B$1001,A143,Log!$C$2:$C$1001,"Count",Log!$A$2:$A$1001,AA143),N(R143))+SUMIFS(Log!$D$2:$D$1001,Log!$B$2:$B$1001,A143,Log!$C$2:$C$1001,"Received",Log!$A$2:$A$1001,"&gt;"&amp;AA143)-SUMIFS(Log!$D$2:$D$1001,Log!$B$2:$B$1001,A143,Log!$C$2:$C$1001,"Used",Log!$A$2:$A$1001,"&gt;"&amp;AA143)+SUMIFS(Log!$D$2:$D$1001,Log!$B$2:$B$1001,A143,Log!$C$2:$C$1001,"Adjustment",Log!$A$2:$A$1001,"&gt;"&amp;AA143)))</f>
        <v/>
      </c>
      <c r="D143" s="32">
        <f>IF(A143="","",IF(X143&lt;&gt;"",X143,W143))</f>
        <v/>
      </c>
      <c r="E143" s="33">
        <f>IF(OR(A143="",N(O143)=0),"",C143/O143)</f>
        <v/>
      </c>
      <c r="F143" s="31">
        <f>IF(A143="","",MAX(0,N(T143)-SUMIFS(Log!$D$2:$D$1001,Log!$B$2:$B$1001,A143,Log!$C$2:$C$1001,"Received",Log!$A$2:$A$1001,"&gt;="&amp;N(U143))))</f>
        <v/>
      </c>
      <c r="G143" s="24" t="n"/>
      <c r="H143" s="24" t="n"/>
      <c r="I143" s="24" t="n"/>
      <c r="J143" s="24" t="n"/>
      <c r="K143" s="24" t="n"/>
      <c r="L143" s="34" t="n"/>
      <c r="M143" s="24" t="n"/>
      <c r="N143" s="24" t="n"/>
      <c r="O143" s="35" t="n"/>
      <c r="P143" s="25" t="n"/>
      <c r="Q143" s="36">
        <f>IF(A143="","",IF(P143&lt;&gt;"",P143,IFERROR(IF(N(INDEX(Suppliers!$E$5:$E$24,MATCH(H143,Suppliers!$B$5:$B$24,0)))&gt;0,INDEX(Suppliers!$E$5:$E$24,MATCH(H143,Suppliers!$B$5:$B$24,0)),5),5)))</f>
        <v/>
      </c>
      <c r="R143" s="35" t="n"/>
      <c r="S143" s="37" t="n"/>
      <c r="T143" s="25" t="n"/>
      <c r="U143" s="37" t="n"/>
      <c r="V143" s="37" t="n"/>
      <c r="W143" s="36">
        <f>IF(A143="","",ROUNDUP(N(O143)*(Q143/7+Settings!$C$5),0))</f>
        <v/>
      </c>
      <c r="X143" s="25" t="n"/>
      <c r="Y143" s="25" t="n"/>
      <c r="Z143" s="32">
        <f>IF(A143="","",IF(Y143&lt;&gt;"",Y143,MAX(1,ROUNDUP(N(O143)*Settings!$C$7,0))))</f>
        <v/>
      </c>
      <c r="AA143" s="38">
        <f>IF(A143="","",MAX(N(S143),_xlfn.MAXIFS(Log!$A$2:$A$1001,Log!$B$2:$B$1001,A143,Log!$C$2:$C$1001,"Count")))</f>
        <v/>
      </c>
      <c r="AB143" s="39">
        <f>IF(A143="","",Z143*N(L143))</f>
        <v/>
      </c>
      <c r="AC143" s="40">
        <f>IF(A143="","",N(O143)*52*N(L143))</f>
        <v/>
      </c>
      <c r="AD143" s="39">
        <f>IF(A143="","",C143*N(L143))</f>
        <v/>
      </c>
      <c r="AE143" s="41">
        <f>IF(A143="",0,IF(AND(OR(B143="Order now",B143="Critical"),F143=0),1,0))</f>
        <v/>
      </c>
      <c r="AF143" s="41">
        <f>IF(AE143=1,IFERROR(MATCH(H143,Suppliers!$B$5:$B$24,0),99)*1000+ROW(),"")</f>
        <v/>
      </c>
      <c r="AG143" s="41">
        <f>IF(AF143="","",COUNTIF('Stock list'!$AF$2:$AF$301,"&lt;"&amp;AF143)+1)</f>
        <v/>
      </c>
      <c r="AH143" s="41">
        <f>IF(A143="",0,IF(OR(AA143=0,AND(B143="OK",OR(C143&lt;=D143+N(O143)*Settings!$C$6,Settings!$C$10-AA143&gt;Settings!$C$8*7))),1,0))</f>
        <v/>
      </c>
      <c r="AI143" s="41">
        <f>IF(AH143=0,"",IF(AA143=0,"Never counted",IF(C143&lt;=D143+N(O143)*Settings!$C$6,"Near the reorder point","Not counted for "&amp;INT((Settings!$C$10-AA143)/7)&amp;" weeks")))</f>
        <v/>
      </c>
      <c r="AJ143" s="41">
        <f>IF(AH143=1,IFERROR(MATCH(M143,Settings!$G$19:$G$38,0),99)*1000+ROW(),"")</f>
        <v/>
      </c>
      <c r="AK143" s="41">
        <f>IF(AJ143="","",COUNTIF('Stock list'!$AJ$2:$AJ$301,"&lt;"&amp;AJ143)+1)</f>
        <v/>
      </c>
      <c r="AL143" s="41">
        <f>IF(OR(A143="",N(AC143)=0),"",AC143+ROW()/1000000)</f>
        <v/>
      </c>
    </row>
    <row r="144">
      <c r="A144" s="24" t="n"/>
      <c r="B144" s="30">
        <f>IF(A144="","",IF(AA144=0,"No count",IF(AND(N(O144)&gt;0,C144/O144*7&lt;Q144),"Critical",IF(F144&gt;0,"On order",IF(AND(D144&gt;0,C144&lt;=D144),"Order now","OK")))))</f>
        <v/>
      </c>
      <c r="C144" s="31">
        <f>IF(A144="","",MAX(0,IF(_xlfn.MAXIFS(Log!$A$2:$A$1001,Log!$B$2:$B$1001,A144,Log!$C$2:$C$1001,"Count")&gt;N(S144),_xlfn.MAXIFS(Log!$D$2:$D$1001,Log!$B$2:$B$1001,A144,Log!$C$2:$C$1001,"Count",Log!$A$2:$A$1001,AA144),N(R144))+SUMIFS(Log!$D$2:$D$1001,Log!$B$2:$B$1001,A144,Log!$C$2:$C$1001,"Received",Log!$A$2:$A$1001,"&gt;"&amp;AA144)-SUMIFS(Log!$D$2:$D$1001,Log!$B$2:$B$1001,A144,Log!$C$2:$C$1001,"Used",Log!$A$2:$A$1001,"&gt;"&amp;AA144)+SUMIFS(Log!$D$2:$D$1001,Log!$B$2:$B$1001,A144,Log!$C$2:$C$1001,"Adjustment",Log!$A$2:$A$1001,"&gt;"&amp;AA144)))</f>
        <v/>
      </c>
      <c r="D144" s="32">
        <f>IF(A144="","",IF(X144&lt;&gt;"",X144,W144))</f>
        <v/>
      </c>
      <c r="E144" s="33">
        <f>IF(OR(A144="",N(O144)=0),"",C144/O144)</f>
        <v/>
      </c>
      <c r="F144" s="31">
        <f>IF(A144="","",MAX(0,N(T144)-SUMIFS(Log!$D$2:$D$1001,Log!$B$2:$B$1001,A144,Log!$C$2:$C$1001,"Received",Log!$A$2:$A$1001,"&gt;="&amp;N(U144))))</f>
        <v/>
      </c>
      <c r="G144" s="24" t="n"/>
      <c r="H144" s="24" t="n"/>
      <c r="I144" s="24" t="n"/>
      <c r="J144" s="24" t="n"/>
      <c r="K144" s="24" t="n"/>
      <c r="L144" s="34" t="n"/>
      <c r="M144" s="24" t="n"/>
      <c r="N144" s="24" t="n"/>
      <c r="O144" s="35" t="n"/>
      <c r="P144" s="25" t="n"/>
      <c r="Q144" s="36">
        <f>IF(A144="","",IF(P144&lt;&gt;"",P144,IFERROR(IF(N(INDEX(Suppliers!$E$5:$E$24,MATCH(H144,Suppliers!$B$5:$B$24,0)))&gt;0,INDEX(Suppliers!$E$5:$E$24,MATCH(H144,Suppliers!$B$5:$B$24,0)),5),5)))</f>
        <v/>
      </c>
      <c r="R144" s="35" t="n"/>
      <c r="S144" s="37" t="n"/>
      <c r="T144" s="25" t="n"/>
      <c r="U144" s="37" t="n"/>
      <c r="V144" s="37" t="n"/>
      <c r="W144" s="36">
        <f>IF(A144="","",ROUNDUP(N(O144)*(Q144/7+Settings!$C$5),0))</f>
        <v/>
      </c>
      <c r="X144" s="25" t="n"/>
      <c r="Y144" s="25" t="n"/>
      <c r="Z144" s="32">
        <f>IF(A144="","",IF(Y144&lt;&gt;"",Y144,MAX(1,ROUNDUP(N(O144)*Settings!$C$7,0))))</f>
        <v/>
      </c>
      <c r="AA144" s="38">
        <f>IF(A144="","",MAX(N(S144),_xlfn.MAXIFS(Log!$A$2:$A$1001,Log!$B$2:$B$1001,A144,Log!$C$2:$C$1001,"Count")))</f>
        <v/>
      </c>
      <c r="AB144" s="39">
        <f>IF(A144="","",Z144*N(L144))</f>
        <v/>
      </c>
      <c r="AC144" s="40">
        <f>IF(A144="","",N(O144)*52*N(L144))</f>
        <v/>
      </c>
      <c r="AD144" s="39">
        <f>IF(A144="","",C144*N(L144))</f>
        <v/>
      </c>
      <c r="AE144" s="41">
        <f>IF(A144="",0,IF(AND(OR(B144="Order now",B144="Critical"),F144=0),1,0))</f>
        <v/>
      </c>
      <c r="AF144" s="41">
        <f>IF(AE144=1,IFERROR(MATCH(H144,Suppliers!$B$5:$B$24,0),99)*1000+ROW(),"")</f>
        <v/>
      </c>
      <c r="AG144" s="41">
        <f>IF(AF144="","",COUNTIF('Stock list'!$AF$2:$AF$301,"&lt;"&amp;AF144)+1)</f>
        <v/>
      </c>
      <c r="AH144" s="41">
        <f>IF(A144="",0,IF(OR(AA144=0,AND(B144="OK",OR(C144&lt;=D144+N(O144)*Settings!$C$6,Settings!$C$10-AA144&gt;Settings!$C$8*7))),1,0))</f>
        <v/>
      </c>
      <c r="AI144" s="41">
        <f>IF(AH144=0,"",IF(AA144=0,"Never counted",IF(C144&lt;=D144+N(O144)*Settings!$C$6,"Near the reorder point","Not counted for "&amp;INT((Settings!$C$10-AA144)/7)&amp;" weeks")))</f>
        <v/>
      </c>
      <c r="AJ144" s="41">
        <f>IF(AH144=1,IFERROR(MATCH(M144,Settings!$G$19:$G$38,0),99)*1000+ROW(),"")</f>
        <v/>
      </c>
      <c r="AK144" s="41">
        <f>IF(AJ144="","",COUNTIF('Stock list'!$AJ$2:$AJ$301,"&lt;"&amp;AJ144)+1)</f>
        <v/>
      </c>
      <c r="AL144" s="41">
        <f>IF(OR(A144="",N(AC144)=0),"",AC144+ROW()/1000000)</f>
        <v/>
      </c>
    </row>
    <row r="145">
      <c r="A145" s="24" t="n"/>
      <c r="B145" s="30">
        <f>IF(A145="","",IF(AA145=0,"No count",IF(AND(N(O145)&gt;0,C145/O145*7&lt;Q145),"Critical",IF(F145&gt;0,"On order",IF(AND(D145&gt;0,C145&lt;=D145),"Order now","OK")))))</f>
        <v/>
      </c>
      <c r="C145" s="31">
        <f>IF(A145="","",MAX(0,IF(_xlfn.MAXIFS(Log!$A$2:$A$1001,Log!$B$2:$B$1001,A145,Log!$C$2:$C$1001,"Count")&gt;N(S145),_xlfn.MAXIFS(Log!$D$2:$D$1001,Log!$B$2:$B$1001,A145,Log!$C$2:$C$1001,"Count",Log!$A$2:$A$1001,AA145),N(R145))+SUMIFS(Log!$D$2:$D$1001,Log!$B$2:$B$1001,A145,Log!$C$2:$C$1001,"Received",Log!$A$2:$A$1001,"&gt;"&amp;AA145)-SUMIFS(Log!$D$2:$D$1001,Log!$B$2:$B$1001,A145,Log!$C$2:$C$1001,"Used",Log!$A$2:$A$1001,"&gt;"&amp;AA145)+SUMIFS(Log!$D$2:$D$1001,Log!$B$2:$B$1001,A145,Log!$C$2:$C$1001,"Adjustment",Log!$A$2:$A$1001,"&gt;"&amp;AA145)))</f>
        <v/>
      </c>
      <c r="D145" s="32">
        <f>IF(A145="","",IF(X145&lt;&gt;"",X145,W145))</f>
        <v/>
      </c>
      <c r="E145" s="33">
        <f>IF(OR(A145="",N(O145)=0),"",C145/O145)</f>
        <v/>
      </c>
      <c r="F145" s="31">
        <f>IF(A145="","",MAX(0,N(T145)-SUMIFS(Log!$D$2:$D$1001,Log!$B$2:$B$1001,A145,Log!$C$2:$C$1001,"Received",Log!$A$2:$A$1001,"&gt;="&amp;N(U145))))</f>
        <v/>
      </c>
      <c r="G145" s="24" t="n"/>
      <c r="H145" s="24" t="n"/>
      <c r="I145" s="24" t="n"/>
      <c r="J145" s="24" t="n"/>
      <c r="K145" s="24" t="n"/>
      <c r="L145" s="34" t="n"/>
      <c r="M145" s="24" t="n"/>
      <c r="N145" s="24" t="n"/>
      <c r="O145" s="35" t="n"/>
      <c r="P145" s="25" t="n"/>
      <c r="Q145" s="36">
        <f>IF(A145="","",IF(P145&lt;&gt;"",P145,IFERROR(IF(N(INDEX(Suppliers!$E$5:$E$24,MATCH(H145,Suppliers!$B$5:$B$24,0)))&gt;0,INDEX(Suppliers!$E$5:$E$24,MATCH(H145,Suppliers!$B$5:$B$24,0)),5),5)))</f>
        <v/>
      </c>
      <c r="R145" s="35" t="n"/>
      <c r="S145" s="37" t="n"/>
      <c r="T145" s="25" t="n"/>
      <c r="U145" s="37" t="n"/>
      <c r="V145" s="37" t="n"/>
      <c r="W145" s="36">
        <f>IF(A145="","",ROUNDUP(N(O145)*(Q145/7+Settings!$C$5),0))</f>
        <v/>
      </c>
      <c r="X145" s="25" t="n"/>
      <c r="Y145" s="25" t="n"/>
      <c r="Z145" s="32">
        <f>IF(A145="","",IF(Y145&lt;&gt;"",Y145,MAX(1,ROUNDUP(N(O145)*Settings!$C$7,0))))</f>
        <v/>
      </c>
      <c r="AA145" s="38">
        <f>IF(A145="","",MAX(N(S145),_xlfn.MAXIFS(Log!$A$2:$A$1001,Log!$B$2:$B$1001,A145,Log!$C$2:$C$1001,"Count")))</f>
        <v/>
      </c>
      <c r="AB145" s="39">
        <f>IF(A145="","",Z145*N(L145))</f>
        <v/>
      </c>
      <c r="AC145" s="40">
        <f>IF(A145="","",N(O145)*52*N(L145))</f>
        <v/>
      </c>
      <c r="AD145" s="39">
        <f>IF(A145="","",C145*N(L145))</f>
        <v/>
      </c>
      <c r="AE145" s="41">
        <f>IF(A145="",0,IF(AND(OR(B145="Order now",B145="Critical"),F145=0),1,0))</f>
        <v/>
      </c>
      <c r="AF145" s="41">
        <f>IF(AE145=1,IFERROR(MATCH(H145,Suppliers!$B$5:$B$24,0),99)*1000+ROW(),"")</f>
        <v/>
      </c>
      <c r="AG145" s="41">
        <f>IF(AF145="","",COUNTIF('Stock list'!$AF$2:$AF$301,"&lt;"&amp;AF145)+1)</f>
        <v/>
      </c>
      <c r="AH145" s="41">
        <f>IF(A145="",0,IF(OR(AA145=0,AND(B145="OK",OR(C145&lt;=D145+N(O145)*Settings!$C$6,Settings!$C$10-AA145&gt;Settings!$C$8*7))),1,0))</f>
        <v/>
      </c>
      <c r="AI145" s="41">
        <f>IF(AH145=0,"",IF(AA145=0,"Never counted",IF(C145&lt;=D145+N(O145)*Settings!$C$6,"Near the reorder point","Not counted for "&amp;INT((Settings!$C$10-AA145)/7)&amp;" weeks")))</f>
        <v/>
      </c>
      <c r="AJ145" s="41">
        <f>IF(AH145=1,IFERROR(MATCH(M145,Settings!$G$19:$G$38,0),99)*1000+ROW(),"")</f>
        <v/>
      </c>
      <c r="AK145" s="41">
        <f>IF(AJ145="","",COUNTIF('Stock list'!$AJ$2:$AJ$301,"&lt;"&amp;AJ145)+1)</f>
        <v/>
      </c>
      <c r="AL145" s="41">
        <f>IF(OR(A145="",N(AC145)=0),"",AC145+ROW()/1000000)</f>
        <v/>
      </c>
    </row>
    <row r="146">
      <c r="A146" s="24" t="n"/>
      <c r="B146" s="30">
        <f>IF(A146="","",IF(AA146=0,"No count",IF(AND(N(O146)&gt;0,C146/O146*7&lt;Q146),"Critical",IF(F146&gt;0,"On order",IF(AND(D146&gt;0,C146&lt;=D146),"Order now","OK")))))</f>
        <v/>
      </c>
      <c r="C146" s="31">
        <f>IF(A146="","",MAX(0,IF(_xlfn.MAXIFS(Log!$A$2:$A$1001,Log!$B$2:$B$1001,A146,Log!$C$2:$C$1001,"Count")&gt;N(S146),_xlfn.MAXIFS(Log!$D$2:$D$1001,Log!$B$2:$B$1001,A146,Log!$C$2:$C$1001,"Count",Log!$A$2:$A$1001,AA146),N(R146))+SUMIFS(Log!$D$2:$D$1001,Log!$B$2:$B$1001,A146,Log!$C$2:$C$1001,"Received",Log!$A$2:$A$1001,"&gt;"&amp;AA146)-SUMIFS(Log!$D$2:$D$1001,Log!$B$2:$B$1001,A146,Log!$C$2:$C$1001,"Used",Log!$A$2:$A$1001,"&gt;"&amp;AA146)+SUMIFS(Log!$D$2:$D$1001,Log!$B$2:$B$1001,A146,Log!$C$2:$C$1001,"Adjustment",Log!$A$2:$A$1001,"&gt;"&amp;AA146)))</f>
        <v/>
      </c>
      <c r="D146" s="32">
        <f>IF(A146="","",IF(X146&lt;&gt;"",X146,W146))</f>
        <v/>
      </c>
      <c r="E146" s="33">
        <f>IF(OR(A146="",N(O146)=0),"",C146/O146)</f>
        <v/>
      </c>
      <c r="F146" s="31">
        <f>IF(A146="","",MAX(0,N(T146)-SUMIFS(Log!$D$2:$D$1001,Log!$B$2:$B$1001,A146,Log!$C$2:$C$1001,"Received",Log!$A$2:$A$1001,"&gt;="&amp;N(U146))))</f>
        <v/>
      </c>
      <c r="G146" s="24" t="n"/>
      <c r="H146" s="24" t="n"/>
      <c r="I146" s="24" t="n"/>
      <c r="J146" s="24" t="n"/>
      <c r="K146" s="24" t="n"/>
      <c r="L146" s="34" t="n"/>
      <c r="M146" s="24" t="n"/>
      <c r="N146" s="24" t="n"/>
      <c r="O146" s="35" t="n"/>
      <c r="P146" s="25" t="n"/>
      <c r="Q146" s="36">
        <f>IF(A146="","",IF(P146&lt;&gt;"",P146,IFERROR(IF(N(INDEX(Suppliers!$E$5:$E$24,MATCH(H146,Suppliers!$B$5:$B$24,0)))&gt;0,INDEX(Suppliers!$E$5:$E$24,MATCH(H146,Suppliers!$B$5:$B$24,0)),5),5)))</f>
        <v/>
      </c>
      <c r="R146" s="35" t="n"/>
      <c r="S146" s="37" t="n"/>
      <c r="T146" s="25" t="n"/>
      <c r="U146" s="37" t="n"/>
      <c r="V146" s="37" t="n"/>
      <c r="W146" s="36">
        <f>IF(A146="","",ROUNDUP(N(O146)*(Q146/7+Settings!$C$5),0))</f>
        <v/>
      </c>
      <c r="X146" s="25" t="n"/>
      <c r="Y146" s="25" t="n"/>
      <c r="Z146" s="32">
        <f>IF(A146="","",IF(Y146&lt;&gt;"",Y146,MAX(1,ROUNDUP(N(O146)*Settings!$C$7,0))))</f>
        <v/>
      </c>
      <c r="AA146" s="38">
        <f>IF(A146="","",MAX(N(S146),_xlfn.MAXIFS(Log!$A$2:$A$1001,Log!$B$2:$B$1001,A146,Log!$C$2:$C$1001,"Count")))</f>
        <v/>
      </c>
      <c r="AB146" s="39">
        <f>IF(A146="","",Z146*N(L146))</f>
        <v/>
      </c>
      <c r="AC146" s="40">
        <f>IF(A146="","",N(O146)*52*N(L146))</f>
        <v/>
      </c>
      <c r="AD146" s="39">
        <f>IF(A146="","",C146*N(L146))</f>
        <v/>
      </c>
      <c r="AE146" s="41">
        <f>IF(A146="",0,IF(AND(OR(B146="Order now",B146="Critical"),F146=0),1,0))</f>
        <v/>
      </c>
      <c r="AF146" s="41">
        <f>IF(AE146=1,IFERROR(MATCH(H146,Suppliers!$B$5:$B$24,0),99)*1000+ROW(),"")</f>
        <v/>
      </c>
      <c r="AG146" s="41">
        <f>IF(AF146="","",COUNTIF('Stock list'!$AF$2:$AF$301,"&lt;"&amp;AF146)+1)</f>
        <v/>
      </c>
      <c r="AH146" s="41">
        <f>IF(A146="",0,IF(OR(AA146=0,AND(B146="OK",OR(C146&lt;=D146+N(O146)*Settings!$C$6,Settings!$C$10-AA146&gt;Settings!$C$8*7))),1,0))</f>
        <v/>
      </c>
      <c r="AI146" s="41">
        <f>IF(AH146=0,"",IF(AA146=0,"Never counted",IF(C146&lt;=D146+N(O146)*Settings!$C$6,"Near the reorder point","Not counted for "&amp;INT((Settings!$C$10-AA146)/7)&amp;" weeks")))</f>
        <v/>
      </c>
      <c r="AJ146" s="41">
        <f>IF(AH146=1,IFERROR(MATCH(M146,Settings!$G$19:$G$38,0),99)*1000+ROW(),"")</f>
        <v/>
      </c>
      <c r="AK146" s="41">
        <f>IF(AJ146="","",COUNTIF('Stock list'!$AJ$2:$AJ$301,"&lt;"&amp;AJ146)+1)</f>
        <v/>
      </c>
      <c r="AL146" s="41">
        <f>IF(OR(A146="",N(AC146)=0),"",AC146+ROW()/1000000)</f>
        <v/>
      </c>
    </row>
    <row r="147">
      <c r="A147" s="24" t="n"/>
      <c r="B147" s="30">
        <f>IF(A147="","",IF(AA147=0,"No count",IF(AND(N(O147)&gt;0,C147/O147*7&lt;Q147),"Critical",IF(F147&gt;0,"On order",IF(AND(D147&gt;0,C147&lt;=D147),"Order now","OK")))))</f>
        <v/>
      </c>
      <c r="C147" s="31">
        <f>IF(A147="","",MAX(0,IF(_xlfn.MAXIFS(Log!$A$2:$A$1001,Log!$B$2:$B$1001,A147,Log!$C$2:$C$1001,"Count")&gt;N(S147),_xlfn.MAXIFS(Log!$D$2:$D$1001,Log!$B$2:$B$1001,A147,Log!$C$2:$C$1001,"Count",Log!$A$2:$A$1001,AA147),N(R147))+SUMIFS(Log!$D$2:$D$1001,Log!$B$2:$B$1001,A147,Log!$C$2:$C$1001,"Received",Log!$A$2:$A$1001,"&gt;"&amp;AA147)-SUMIFS(Log!$D$2:$D$1001,Log!$B$2:$B$1001,A147,Log!$C$2:$C$1001,"Used",Log!$A$2:$A$1001,"&gt;"&amp;AA147)+SUMIFS(Log!$D$2:$D$1001,Log!$B$2:$B$1001,A147,Log!$C$2:$C$1001,"Adjustment",Log!$A$2:$A$1001,"&gt;"&amp;AA147)))</f>
        <v/>
      </c>
      <c r="D147" s="32">
        <f>IF(A147="","",IF(X147&lt;&gt;"",X147,W147))</f>
        <v/>
      </c>
      <c r="E147" s="33">
        <f>IF(OR(A147="",N(O147)=0),"",C147/O147)</f>
        <v/>
      </c>
      <c r="F147" s="31">
        <f>IF(A147="","",MAX(0,N(T147)-SUMIFS(Log!$D$2:$D$1001,Log!$B$2:$B$1001,A147,Log!$C$2:$C$1001,"Received",Log!$A$2:$A$1001,"&gt;="&amp;N(U147))))</f>
        <v/>
      </c>
      <c r="G147" s="24" t="n"/>
      <c r="H147" s="24" t="n"/>
      <c r="I147" s="24" t="n"/>
      <c r="J147" s="24" t="n"/>
      <c r="K147" s="24" t="n"/>
      <c r="L147" s="34" t="n"/>
      <c r="M147" s="24" t="n"/>
      <c r="N147" s="24" t="n"/>
      <c r="O147" s="35" t="n"/>
      <c r="P147" s="25" t="n"/>
      <c r="Q147" s="36">
        <f>IF(A147="","",IF(P147&lt;&gt;"",P147,IFERROR(IF(N(INDEX(Suppliers!$E$5:$E$24,MATCH(H147,Suppliers!$B$5:$B$24,0)))&gt;0,INDEX(Suppliers!$E$5:$E$24,MATCH(H147,Suppliers!$B$5:$B$24,0)),5),5)))</f>
        <v/>
      </c>
      <c r="R147" s="35" t="n"/>
      <c r="S147" s="37" t="n"/>
      <c r="T147" s="25" t="n"/>
      <c r="U147" s="37" t="n"/>
      <c r="V147" s="37" t="n"/>
      <c r="W147" s="36">
        <f>IF(A147="","",ROUNDUP(N(O147)*(Q147/7+Settings!$C$5),0))</f>
        <v/>
      </c>
      <c r="X147" s="25" t="n"/>
      <c r="Y147" s="25" t="n"/>
      <c r="Z147" s="32">
        <f>IF(A147="","",IF(Y147&lt;&gt;"",Y147,MAX(1,ROUNDUP(N(O147)*Settings!$C$7,0))))</f>
        <v/>
      </c>
      <c r="AA147" s="38">
        <f>IF(A147="","",MAX(N(S147),_xlfn.MAXIFS(Log!$A$2:$A$1001,Log!$B$2:$B$1001,A147,Log!$C$2:$C$1001,"Count")))</f>
        <v/>
      </c>
      <c r="AB147" s="39">
        <f>IF(A147="","",Z147*N(L147))</f>
        <v/>
      </c>
      <c r="AC147" s="40">
        <f>IF(A147="","",N(O147)*52*N(L147))</f>
        <v/>
      </c>
      <c r="AD147" s="39">
        <f>IF(A147="","",C147*N(L147))</f>
        <v/>
      </c>
      <c r="AE147" s="41">
        <f>IF(A147="",0,IF(AND(OR(B147="Order now",B147="Critical"),F147=0),1,0))</f>
        <v/>
      </c>
      <c r="AF147" s="41">
        <f>IF(AE147=1,IFERROR(MATCH(H147,Suppliers!$B$5:$B$24,0),99)*1000+ROW(),"")</f>
        <v/>
      </c>
      <c r="AG147" s="41">
        <f>IF(AF147="","",COUNTIF('Stock list'!$AF$2:$AF$301,"&lt;"&amp;AF147)+1)</f>
        <v/>
      </c>
      <c r="AH147" s="41">
        <f>IF(A147="",0,IF(OR(AA147=0,AND(B147="OK",OR(C147&lt;=D147+N(O147)*Settings!$C$6,Settings!$C$10-AA147&gt;Settings!$C$8*7))),1,0))</f>
        <v/>
      </c>
      <c r="AI147" s="41">
        <f>IF(AH147=0,"",IF(AA147=0,"Never counted",IF(C147&lt;=D147+N(O147)*Settings!$C$6,"Near the reorder point","Not counted for "&amp;INT((Settings!$C$10-AA147)/7)&amp;" weeks")))</f>
        <v/>
      </c>
      <c r="AJ147" s="41">
        <f>IF(AH147=1,IFERROR(MATCH(M147,Settings!$G$19:$G$38,0),99)*1000+ROW(),"")</f>
        <v/>
      </c>
      <c r="AK147" s="41">
        <f>IF(AJ147="","",COUNTIF('Stock list'!$AJ$2:$AJ$301,"&lt;"&amp;AJ147)+1)</f>
        <v/>
      </c>
      <c r="AL147" s="41">
        <f>IF(OR(A147="",N(AC147)=0),"",AC147+ROW()/1000000)</f>
        <v/>
      </c>
    </row>
    <row r="148">
      <c r="A148" s="24" t="n"/>
      <c r="B148" s="30">
        <f>IF(A148="","",IF(AA148=0,"No count",IF(AND(N(O148)&gt;0,C148/O148*7&lt;Q148),"Critical",IF(F148&gt;0,"On order",IF(AND(D148&gt;0,C148&lt;=D148),"Order now","OK")))))</f>
        <v/>
      </c>
      <c r="C148" s="31">
        <f>IF(A148="","",MAX(0,IF(_xlfn.MAXIFS(Log!$A$2:$A$1001,Log!$B$2:$B$1001,A148,Log!$C$2:$C$1001,"Count")&gt;N(S148),_xlfn.MAXIFS(Log!$D$2:$D$1001,Log!$B$2:$B$1001,A148,Log!$C$2:$C$1001,"Count",Log!$A$2:$A$1001,AA148),N(R148))+SUMIFS(Log!$D$2:$D$1001,Log!$B$2:$B$1001,A148,Log!$C$2:$C$1001,"Received",Log!$A$2:$A$1001,"&gt;"&amp;AA148)-SUMIFS(Log!$D$2:$D$1001,Log!$B$2:$B$1001,A148,Log!$C$2:$C$1001,"Used",Log!$A$2:$A$1001,"&gt;"&amp;AA148)+SUMIFS(Log!$D$2:$D$1001,Log!$B$2:$B$1001,A148,Log!$C$2:$C$1001,"Adjustment",Log!$A$2:$A$1001,"&gt;"&amp;AA148)))</f>
        <v/>
      </c>
      <c r="D148" s="32">
        <f>IF(A148="","",IF(X148&lt;&gt;"",X148,W148))</f>
        <v/>
      </c>
      <c r="E148" s="33">
        <f>IF(OR(A148="",N(O148)=0),"",C148/O148)</f>
        <v/>
      </c>
      <c r="F148" s="31">
        <f>IF(A148="","",MAX(0,N(T148)-SUMIFS(Log!$D$2:$D$1001,Log!$B$2:$B$1001,A148,Log!$C$2:$C$1001,"Received",Log!$A$2:$A$1001,"&gt;="&amp;N(U148))))</f>
        <v/>
      </c>
      <c r="G148" s="24" t="n"/>
      <c r="H148" s="24" t="n"/>
      <c r="I148" s="24" t="n"/>
      <c r="J148" s="24" t="n"/>
      <c r="K148" s="24" t="n"/>
      <c r="L148" s="34" t="n"/>
      <c r="M148" s="24" t="n"/>
      <c r="N148" s="24" t="n"/>
      <c r="O148" s="35" t="n"/>
      <c r="P148" s="25" t="n"/>
      <c r="Q148" s="36">
        <f>IF(A148="","",IF(P148&lt;&gt;"",P148,IFERROR(IF(N(INDEX(Suppliers!$E$5:$E$24,MATCH(H148,Suppliers!$B$5:$B$24,0)))&gt;0,INDEX(Suppliers!$E$5:$E$24,MATCH(H148,Suppliers!$B$5:$B$24,0)),5),5)))</f>
        <v/>
      </c>
      <c r="R148" s="35" t="n"/>
      <c r="S148" s="37" t="n"/>
      <c r="T148" s="25" t="n"/>
      <c r="U148" s="37" t="n"/>
      <c r="V148" s="37" t="n"/>
      <c r="W148" s="36">
        <f>IF(A148="","",ROUNDUP(N(O148)*(Q148/7+Settings!$C$5),0))</f>
        <v/>
      </c>
      <c r="X148" s="25" t="n"/>
      <c r="Y148" s="25" t="n"/>
      <c r="Z148" s="32">
        <f>IF(A148="","",IF(Y148&lt;&gt;"",Y148,MAX(1,ROUNDUP(N(O148)*Settings!$C$7,0))))</f>
        <v/>
      </c>
      <c r="AA148" s="38">
        <f>IF(A148="","",MAX(N(S148),_xlfn.MAXIFS(Log!$A$2:$A$1001,Log!$B$2:$B$1001,A148,Log!$C$2:$C$1001,"Count")))</f>
        <v/>
      </c>
      <c r="AB148" s="39">
        <f>IF(A148="","",Z148*N(L148))</f>
        <v/>
      </c>
      <c r="AC148" s="40">
        <f>IF(A148="","",N(O148)*52*N(L148))</f>
        <v/>
      </c>
      <c r="AD148" s="39">
        <f>IF(A148="","",C148*N(L148))</f>
        <v/>
      </c>
      <c r="AE148" s="41">
        <f>IF(A148="",0,IF(AND(OR(B148="Order now",B148="Critical"),F148=0),1,0))</f>
        <v/>
      </c>
      <c r="AF148" s="41">
        <f>IF(AE148=1,IFERROR(MATCH(H148,Suppliers!$B$5:$B$24,0),99)*1000+ROW(),"")</f>
        <v/>
      </c>
      <c r="AG148" s="41">
        <f>IF(AF148="","",COUNTIF('Stock list'!$AF$2:$AF$301,"&lt;"&amp;AF148)+1)</f>
        <v/>
      </c>
      <c r="AH148" s="41">
        <f>IF(A148="",0,IF(OR(AA148=0,AND(B148="OK",OR(C148&lt;=D148+N(O148)*Settings!$C$6,Settings!$C$10-AA148&gt;Settings!$C$8*7))),1,0))</f>
        <v/>
      </c>
      <c r="AI148" s="41">
        <f>IF(AH148=0,"",IF(AA148=0,"Never counted",IF(C148&lt;=D148+N(O148)*Settings!$C$6,"Near the reorder point","Not counted for "&amp;INT((Settings!$C$10-AA148)/7)&amp;" weeks")))</f>
        <v/>
      </c>
      <c r="AJ148" s="41">
        <f>IF(AH148=1,IFERROR(MATCH(M148,Settings!$G$19:$G$38,0),99)*1000+ROW(),"")</f>
        <v/>
      </c>
      <c r="AK148" s="41">
        <f>IF(AJ148="","",COUNTIF('Stock list'!$AJ$2:$AJ$301,"&lt;"&amp;AJ148)+1)</f>
        <v/>
      </c>
      <c r="AL148" s="41">
        <f>IF(OR(A148="",N(AC148)=0),"",AC148+ROW()/1000000)</f>
        <v/>
      </c>
    </row>
    <row r="149">
      <c r="A149" s="24" t="n"/>
      <c r="B149" s="30">
        <f>IF(A149="","",IF(AA149=0,"No count",IF(AND(N(O149)&gt;0,C149/O149*7&lt;Q149),"Critical",IF(F149&gt;0,"On order",IF(AND(D149&gt;0,C149&lt;=D149),"Order now","OK")))))</f>
        <v/>
      </c>
      <c r="C149" s="31">
        <f>IF(A149="","",MAX(0,IF(_xlfn.MAXIFS(Log!$A$2:$A$1001,Log!$B$2:$B$1001,A149,Log!$C$2:$C$1001,"Count")&gt;N(S149),_xlfn.MAXIFS(Log!$D$2:$D$1001,Log!$B$2:$B$1001,A149,Log!$C$2:$C$1001,"Count",Log!$A$2:$A$1001,AA149),N(R149))+SUMIFS(Log!$D$2:$D$1001,Log!$B$2:$B$1001,A149,Log!$C$2:$C$1001,"Received",Log!$A$2:$A$1001,"&gt;"&amp;AA149)-SUMIFS(Log!$D$2:$D$1001,Log!$B$2:$B$1001,A149,Log!$C$2:$C$1001,"Used",Log!$A$2:$A$1001,"&gt;"&amp;AA149)+SUMIFS(Log!$D$2:$D$1001,Log!$B$2:$B$1001,A149,Log!$C$2:$C$1001,"Adjustment",Log!$A$2:$A$1001,"&gt;"&amp;AA149)))</f>
        <v/>
      </c>
      <c r="D149" s="32">
        <f>IF(A149="","",IF(X149&lt;&gt;"",X149,W149))</f>
        <v/>
      </c>
      <c r="E149" s="33">
        <f>IF(OR(A149="",N(O149)=0),"",C149/O149)</f>
        <v/>
      </c>
      <c r="F149" s="31">
        <f>IF(A149="","",MAX(0,N(T149)-SUMIFS(Log!$D$2:$D$1001,Log!$B$2:$B$1001,A149,Log!$C$2:$C$1001,"Received",Log!$A$2:$A$1001,"&gt;="&amp;N(U149))))</f>
        <v/>
      </c>
      <c r="G149" s="24" t="n"/>
      <c r="H149" s="24" t="n"/>
      <c r="I149" s="24" t="n"/>
      <c r="J149" s="24" t="n"/>
      <c r="K149" s="24" t="n"/>
      <c r="L149" s="34" t="n"/>
      <c r="M149" s="24" t="n"/>
      <c r="N149" s="24" t="n"/>
      <c r="O149" s="35" t="n"/>
      <c r="P149" s="25" t="n"/>
      <c r="Q149" s="36">
        <f>IF(A149="","",IF(P149&lt;&gt;"",P149,IFERROR(IF(N(INDEX(Suppliers!$E$5:$E$24,MATCH(H149,Suppliers!$B$5:$B$24,0)))&gt;0,INDEX(Suppliers!$E$5:$E$24,MATCH(H149,Suppliers!$B$5:$B$24,0)),5),5)))</f>
        <v/>
      </c>
      <c r="R149" s="35" t="n"/>
      <c r="S149" s="37" t="n"/>
      <c r="T149" s="25" t="n"/>
      <c r="U149" s="37" t="n"/>
      <c r="V149" s="37" t="n"/>
      <c r="W149" s="36">
        <f>IF(A149="","",ROUNDUP(N(O149)*(Q149/7+Settings!$C$5),0))</f>
        <v/>
      </c>
      <c r="X149" s="25" t="n"/>
      <c r="Y149" s="25" t="n"/>
      <c r="Z149" s="32">
        <f>IF(A149="","",IF(Y149&lt;&gt;"",Y149,MAX(1,ROUNDUP(N(O149)*Settings!$C$7,0))))</f>
        <v/>
      </c>
      <c r="AA149" s="38">
        <f>IF(A149="","",MAX(N(S149),_xlfn.MAXIFS(Log!$A$2:$A$1001,Log!$B$2:$B$1001,A149,Log!$C$2:$C$1001,"Count")))</f>
        <v/>
      </c>
      <c r="AB149" s="39">
        <f>IF(A149="","",Z149*N(L149))</f>
        <v/>
      </c>
      <c r="AC149" s="40">
        <f>IF(A149="","",N(O149)*52*N(L149))</f>
        <v/>
      </c>
      <c r="AD149" s="39">
        <f>IF(A149="","",C149*N(L149))</f>
        <v/>
      </c>
      <c r="AE149" s="41">
        <f>IF(A149="",0,IF(AND(OR(B149="Order now",B149="Critical"),F149=0),1,0))</f>
        <v/>
      </c>
      <c r="AF149" s="41">
        <f>IF(AE149=1,IFERROR(MATCH(H149,Suppliers!$B$5:$B$24,0),99)*1000+ROW(),"")</f>
        <v/>
      </c>
      <c r="AG149" s="41">
        <f>IF(AF149="","",COUNTIF('Stock list'!$AF$2:$AF$301,"&lt;"&amp;AF149)+1)</f>
        <v/>
      </c>
      <c r="AH149" s="41">
        <f>IF(A149="",0,IF(OR(AA149=0,AND(B149="OK",OR(C149&lt;=D149+N(O149)*Settings!$C$6,Settings!$C$10-AA149&gt;Settings!$C$8*7))),1,0))</f>
        <v/>
      </c>
      <c r="AI149" s="41">
        <f>IF(AH149=0,"",IF(AA149=0,"Never counted",IF(C149&lt;=D149+N(O149)*Settings!$C$6,"Near the reorder point","Not counted for "&amp;INT((Settings!$C$10-AA149)/7)&amp;" weeks")))</f>
        <v/>
      </c>
      <c r="AJ149" s="41">
        <f>IF(AH149=1,IFERROR(MATCH(M149,Settings!$G$19:$G$38,0),99)*1000+ROW(),"")</f>
        <v/>
      </c>
      <c r="AK149" s="41">
        <f>IF(AJ149="","",COUNTIF('Stock list'!$AJ$2:$AJ$301,"&lt;"&amp;AJ149)+1)</f>
        <v/>
      </c>
      <c r="AL149" s="41">
        <f>IF(OR(A149="",N(AC149)=0),"",AC149+ROW()/1000000)</f>
        <v/>
      </c>
    </row>
    <row r="150">
      <c r="A150" s="24" t="n"/>
      <c r="B150" s="30">
        <f>IF(A150="","",IF(AA150=0,"No count",IF(AND(N(O150)&gt;0,C150/O150*7&lt;Q150),"Critical",IF(F150&gt;0,"On order",IF(AND(D150&gt;0,C150&lt;=D150),"Order now","OK")))))</f>
        <v/>
      </c>
      <c r="C150" s="31">
        <f>IF(A150="","",MAX(0,IF(_xlfn.MAXIFS(Log!$A$2:$A$1001,Log!$B$2:$B$1001,A150,Log!$C$2:$C$1001,"Count")&gt;N(S150),_xlfn.MAXIFS(Log!$D$2:$D$1001,Log!$B$2:$B$1001,A150,Log!$C$2:$C$1001,"Count",Log!$A$2:$A$1001,AA150),N(R150))+SUMIFS(Log!$D$2:$D$1001,Log!$B$2:$B$1001,A150,Log!$C$2:$C$1001,"Received",Log!$A$2:$A$1001,"&gt;"&amp;AA150)-SUMIFS(Log!$D$2:$D$1001,Log!$B$2:$B$1001,A150,Log!$C$2:$C$1001,"Used",Log!$A$2:$A$1001,"&gt;"&amp;AA150)+SUMIFS(Log!$D$2:$D$1001,Log!$B$2:$B$1001,A150,Log!$C$2:$C$1001,"Adjustment",Log!$A$2:$A$1001,"&gt;"&amp;AA150)))</f>
        <v/>
      </c>
      <c r="D150" s="32">
        <f>IF(A150="","",IF(X150&lt;&gt;"",X150,W150))</f>
        <v/>
      </c>
      <c r="E150" s="33">
        <f>IF(OR(A150="",N(O150)=0),"",C150/O150)</f>
        <v/>
      </c>
      <c r="F150" s="31">
        <f>IF(A150="","",MAX(0,N(T150)-SUMIFS(Log!$D$2:$D$1001,Log!$B$2:$B$1001,A150,Log!$C$2:$C$1001,"Received",Log!$A$2:$A$1001,"&gt;="&amp;N(U150))))</f>
        <v/>
      </c>
      <c r="G150" s="24" t="n"/>
      <c r="H150" s="24" t="n"/>
      <c r="I150" s="24" t="n"/>
      <c r="J150" s="24" t="n"/>
      <c r="K150" s="24" t="n"/>
      <c r="L150" s="34" t="n"/>
      <c r="M150" s="24" t="n"/>
      <c r="N150" s="24" t="n"/>
      <c r="O150" s="35" t="n"/>
      <c r="P150" s="25" t="n"/>
      <c r="Q150" s="36">
        <f>IF(A150="","",IF(P150&lt;&gt;"",P150,IFERROR(IF(N(INDEX(Suppliers!$E$5:$E$24,MATCH(H150,Suppliers!$B$5:$B$24,0)))&gt;0,INDEX(Suppliers!$E$5:$E$24,MATCH(H150,Suppliers!$B$5:$B$24,0)),5),5)))</f>
        <v/>
      </c>
      <c r="R150" s="35" t="n"/>
      <c r="S150" s="37" t="n"/>
      <c r="T150" s="25" t="n"/>
      <c r="U150" s="37" t="n"/>
      <c r="V150" s="37" t="n"/>
      <c r="W150" s="36">
        <f>IF(A150="","",ROUNDUP(N(O150)*(Q150/7+Settings!$C$5),0))</f>
        <v/>
      </c>
      <c r="X150" s="25" t="n"/>
      <c r="Y150" s="25" t="n"/>
      <c r="Z150" s="32">
        <f>IF(A150="","",IF(Y150&lt;&gt;"",Y150,MAX(1,ROUNDUP(N(O150)*Settings!$C$7,0))))</f>
        <v/>
      </c>
      <c r="AA150" s="38">
        <f>IF(A150="","",MAX(N(S150),_xlfn.MAXIFS(Log!$A$2:$A$1001,Log!$B$2:$B$1001,A150,Log!$C$2:$C$1001,"Count")))</f>
        <v/>
      </c>
      <c r="AB150" s="39">
        <f>IF(A150="","",Z150*N(L150))</f>
        <v/>
      </c>
      <c r="AC150" s="40">
        <f>IF(A150="","",N(O150)*52*N(L150))</f>
        <v/>
      </c>
      <c r="AD150" s="39">
        <f>IF(A150="","",C150*N(L150))</f>
        <v/>
      </c>
      <c r="AE150" s="41">
        <f>IF(A150="",0,IF(AND(OR(B150="Order now",B150="Critical"),F150=0),1,0))</f>
        <v/>
      </c>
      <c r="AF150" s="41">
        <f>IF(AE150=1,IFERROR(MATCH(H150,Suppliers!$B$5:$B$24,0),99)*1000+ROW(),"")</f>
        <v/>
      </c>
      <c r="AG150" s="41">
        <f>IF(AF150="","",COUNTIF('Stock list'!$AF$2:$AF$301,"&lt;"&amp;AF150)+1)</f>
        <v/>
      </c>
      <c r="AH150" s="41">
        <f>IF(A150="",0,IF(OR(AA150=0,AND(B150="OK",OR(C150&lt;=D150+N(O150)*Settings!$C$6,Settings!$C$10-AA150&gt;Settings!$C$8*7))),1,0))</f>
        <v/>
      </c>
      <c r="AI150" s="41">
        <f>IF(AH150=0,"",IF(AA150=0,"Never counted",IF(C150&lt;=D150+N(O150)*Settings!$C$6,"Near the reorder point","Not counted for "&amp;INT((Settings!$C$10-AA150)/7)&amp;" weeks")))</f>
        <v/>
      </c>
      <c r="AJ150" s="41">
        <f>IF(AH150=1,IFERROR(MATCH(M150,Settings!$G$19:$G$38,0),99)*1000+ROW(),"")</f>
        <v/>
      </c>
      <c r="AK150" s="41">
        <f>IF(AJ150="","",COUNTIF('Stock list'!$AJ$2:$AJ$301,"&lt;"&amp;AJ150)+1)</f>
        <v/>
      </c>
      <c r="AL150" s="41">
        <f>IF(OR(A150="",N(AC150)=0),"",AC150+ROW()/1000000)</f>
        <v/>
      </c>
    </row>
    <row r="151">
      <c r="A151" s="24" t="n"/>
      <c r="B151" s="30">
        <f>IF(A151="","",IF(AA151=0,"No count",IF(AND(N(O151)&gt;0,C151/O151*7&lt;Q151),"Critical",IF(F151&gt;0,"On order",IF(AND(D151&gt;0,C151&lt;=D151),"Order now","OK")))))</f>
        <v/>
      </c>
      <c r="C151" s="31">
        <f>IF(A151="","",MAX(0,IF(_xlfn.MAXIFS(Log!$A$2:$A$1001,Log!$B$2:$B$1001,A151,Log!$C$2:$C$1001,"Count")&gt;N(S151),_xlfn.MAXIFS(Log!$D$2:$D$1001,Log!$B$2:$B$1001,A151,Log!$C$2:$C$1001,"Count",Log!$A$2:$A$1001,AA151),N(R151))+SUMIFS(Log!$D$2:$D$1001,Log!$B$2:$B$1001,A151,Log!$C$2:$C$1001,"Received",Log!$A$2:$A$1001,"&gt;"&amp;AA151)-SUMIFS(Log!$D$2:$D$1001,Log!$B$2:$B$1001,A151,Log!$C$2:$C$1001,"Used",Log!$A$2:$A$1001,"&gt;"&amp;AA151)+SUMIFS(Log!$D$2:$D$1001,Log!$B$2:$B$1001,A151,Log!$C$2:$C$1001,"Adjustment",Log!$A$2:$A$1001,"&gt;"&amp;AA151)))</f>
        <v/>
      </c>
      <c r="D151" s="32">
        <f>IF(A151="","",IF(X151&lt;&gt;"",X151,W151))</f>
        <v/>
      </c>
      <c r="E151" s="33">
        <f>IF(OR(A151="",N(O151)=0),"",C151/O151)</f>
        <v/>
      </c>
      <c r="F151" s="31">
        <f>IF(A151="","",MAX(0,N(T151)-SUMIFS(Log!$D$2:$D$1001,Log!$B$2:$B$1001,A151,Log!$C$2:$C$1001,"Received",Log!$A$2:$A$1001,"&gt;="&amp;N(U151))))</f>
        <v/>
      </c>
      <c r="G151" s="24" t="n"/>
      <c r="H151" s="24" t="n"/>
      <c r="I151" s="24" t="n"/>
      <c r="J151" s="24" t="n"/>
      <c r="K151" s="24" t="n"/>
      <c r="L151" s="34" t="n"/>
      <c r="M151" s="24" t="n"/>
      <c r="N151" s="24" t="n"/>
      <c r="O151" s="35" t="n"/>
      <c r="P151" s="25" t="n"/>
      <c r="Q151" s="36">
        <f>IF(A151="","",IF(P151&lt;&gt;"",P151,IFERROR(IF(N(INDEX(Suppliers!$E$5:$E$24,MATCH(H151,Suppliers!$B$5:$B$24,0)))&gt;0,INDEX(Suppliers!$E$5:$E$24,MATCH(H151,Suppliers!$B$5:$B$24,0)),5),5)))</f>
        <v/>
      </c>
      <c r="R151" s="35" t="n"/>
      <c r="S151" s="37" t="n"/>
      <c r="T151" s="25" t="n"/>
      <c r="U151" s="37" t="n"/>
      <c r="V151" s="37" t="n"/>
      <c r="W151" s="36">
        <f>IF(A151="","",ROUNDUP(N(O151)*(Q151/7+Settings!$C$5),0))</f>
        <v/>
      </c>
      <c r="X151" s="25" t="n"/>
      <c r="Y151" s="25" t="n"/>
      <c r="Z151" s="32">
        <f>IF(A151="","",IF(Y151&lt;&gt;"",Y151,MAX(1,ROUNDUP(N(O151)*Settings!$C$7,0))))</f>
        <v/>
      </c>
      <c r="AA151" s="38">
        <f>IF(A151="","",MAX(N(S151),_xlfn.MAXIFS(Log!$A$2:$A$1001,Log!$B$2:$B$1001,A151,Log!$C$2:$C$1001,"Count")))</f>
        <v/>
      </c>
      <c r="AB151" s="39">
        <f>IF(A151="","",Z151*N(L151))</f>
        <v/>
      </c>
      <c r="AC151" s="40">
        <f>IF(A151="","",N(O151)*52*N(L151))</f>
        <v/>
      </c>
      <c r="AD151" s="39">
        <f>IF(A151="","",C151*N(L151))</f>
        <v/>
      </c>
      <c r="AE151" s="41">
        <f>IF(A151="",0,IF(AND(OR(B151="Order now",B151="Critical"),F151=0),1,0))</f>
        <v/>
      </c>
      <c r="AF151" s="41">
        <f>IF(AE151=1,IFERROR(MATCH(H151,Suppliers!$B$5:$B$24,0),99)*1000+ROW(),"")</f>
        <v/>
      </c>
      <c r="AG151" s="41">
        <f>IF(AF151="","",COUNTIF('Stock list'!$AF$2:$AF$301,"&lt;"&amp;AF151)+1)</f>
        <v/>
      </c>
      <c r="AH151" s="41">
        <f>IF(A151="",0,IF(OR(AA151=0,AND(B151="OK",OR(C151&lt;=D151+N(O151)*Settings!$C$6,Settings!$C$10-AA151&gt;Settings!$C$8*7))),1,0))</f>
        <v/>
      </c>
      <c r="AI151" s="41">
        <f>IF(AH151=0,"",IF(AA151=0,"Never counted",IF(C151&lt;=D151+N(O151)*Settings!$C$6,"Near the reorder point","Not counted for "&amp;INT((Settings!$C$10-AA151)/7)&amp;" weeks")))</f>
        <v/>
      </c>
      <c r="AJ151" s="41">
        <f>IF(AH151=1,IFERROR(MATCH(M151,Settings!$G$19:$G$38,0),99)*1000+ROW(),"")</f>
        <v/>
      </c>
      <c r="AK151" s="41">
        <f>IF(AJ151="","",COUNTIF('Stock list'!$AJ$2:$AJ$301,"&lt;"&amp;AJ151)+1)</f>
        <v/>
      </c>
      <c r="AL151" s="41">
        <f>IF(OR(A151="",N(AC151)=0),"",AC151+ROW()/1000000)</f>
        <v/>
      </c>
    </row>
    <row r="152">
      <c r="A152" s="24" t="n"/>
      <c r="B152" s="30">
        <f>IF(A152="","",IF(AA152=0,"No count",IF(AND(N(O152)&gt;0,C152/O152*7&lt;Q152),"Critical",IF(F152&gt;0,"On order",IF(AND(D152&gt;0,C152&lt;=D152),"Order now","OK")))))</f>
        <v/>
      </c>
      <c r="C152" s="31">
        <f>IF(A152="","",MAX(0,IF(_xlfn.MAXIFS(Log!$A$2:$A$1001,Log!$B$2:$B$1001,A152,Log!$C$2:$C$1001,"Count")&gt;N(S152),_xlfn.MAXIFS(Log!$D$2:$D$1001,Log!$B$2:$B$1001,A152,Log!$C$2:$C$1001,"Count",Log!$A$2:$A$1001,AA152),N(R152))+SUMIFS(Log!$D$2:$D$1001,Log!$B$2:$B$1001,A152,Log!$C$2:$C$1001,"Received",Log!$A$2:$A$1001,"&gt;"&amp;AA152)-SUMIFS(Log!$D$2:$D$1001,Log!$B$2:$B$1001,A152,Log!$C$2:$C$1001,"Used",Log!$A$2:$A$1001,"&gt;"&amp;AA152)+SUMIFS(Log!$D$2:$D$1001,Log!$B$2:$B$1001,A152,Log!$C$2:$C$1001,"Adjustment",Log!$A$2:$A$1001,"&gt;"&amp;AA152)))</f>
        <v/>
      </c>
      <c r="D152" s="32">
        <f>IF(A152="","",IF(X152&lt;&gt;"",X152,W152))</f>
        <v/>
      </c>
      <c r="E152" s="33">
        <f>IF(OR(A152="",N(O152)=0),"",C152/O152)</f>
        <v/>
      </c>
      <c r="F152" s="31">
        <f>IF(A152="","",MAX(0,N(T152)-SUMIFS(Log!$D$2:$D$1001,Log!$B$2:$B$1001,A152,Log!$C$2:$C$1001,"Received",Log!$A$2:$A$1001,"&gt;="&amp;N(U152))))</f>
        <v/>
      </c>
      <c r="G152" s="24" t="n"/>
      <c r="H152" s="24" t="n"/>
      <c r="I152" s="24" t="n"/>
      <c r="J152" s="24" t="n"/>
      <c r="K152" s="24" t="n"/>
      <c r="L152" s="34" t="n"/>
      <c r="M152" s="24" t="n"/>
      <c r="N152" s="24" t="n"/>
      <c r="O152" s="35" t="n"/>
      <c r="P152" s="25" t="n"/>
      <c r="Q152" s="36">
        <f>IF(A152="","",IF(P152&lt;&gt;"",P152,IFERROR(IF(N(INDEX(Suppliers!$E$5:$E$24,MATCH(H152,Suppliers!$B$5:$B$24,0)))&gt;0,INDEX(Suppliers!$E$5:$E$24,MATCH(H152,Suppliers!$B$5:$B$24,0)),5),5)))</f>
        <v/>
      </c>
      <c r="R152" s="35" t="n"/>
      <c r="S152" s="37" t="n"/>
      <c r="T152" s="25" t="n"/>
      <c r="U152" s="37" t="n"/>
      <c r="V152" s="37" t="n"/>
      <c r="W152" s="36">
        <f>IF(A152="","",ROUNDUP(N(O152)*(Q152/7+Settings!$C$5),0))</f>
        <v/>
      </c>
      <c r="X152" s="25" t="n"/>
      <c r="Y152" s="25" t="n"/>
      <c r="Z152" s="32">
        <f>IF(A152="","",IF(Y152&lt;&gt;"",Y152,MAX(1,ROUNDUP(N(O152)*Settings!$C$7,0))))</f>
        <v/>
      </c>
      <c r="AA152" s="38">
        <f>IF(A152="","",MAX(N(S152),_xlfn.MAXIFS(Log!$A$2:$A$1001,Log!$B$2:$B$1001,A152,Log!$C$2:$C$1001,"Count")))</f>
        <v/>
      </c>
      <c r="AB152" s="39">
        <f>IF(A152="","",Z152*N(L152))</f>
        <v/>
      </c>
      <c r="AC152" s="40">
        <f>IF(A152="","",N(O152)*52*N(L152))</f>
        <v/>
      </c>
      <c r="AD152" s="39">
        <f>IF(A152="","",C152*N(L152))</f>
        <v/>
      </c>
      <c r="AE152" s="41">
        <f>IF(A152="",0,IF(AND(OR(B152="Order now",B152="Critical"),F152=0),1,0))</f>
        <v/>
      </c>
      <c r="AF152" s="41">
        <f>IF(AE152=1,IFERROR(MATCH(H152,Suppliers!$B$5:$B$24,0),99)*1000+ROW(),"")</f>
        <v/>
      </c>
      <c r="AG152" s="41">
        <f>IF(AF152="","",COUNTIF('Stock list'!$AF$2:$AF$301,"&lt;"&amp;AF152)+1)</f>
        <v/>
      </c>
      <c r="AH152" s="41">
        <f>IF(A152="",0,IF(OR(AA152=0,AND(B152="OK",OR(C152&lt;=D152+N(O152)*Settings!$C$6,Settings!$C$10-AA152&gt;Settings!$C$8*7))),1,0))</f>
        <v/>
      </c>
      <c r="AI152" s="41">
        <f>IF(AH152=0,"",IF(AA152=0,"Never counted",IF(C152&lt;=D152+N(O152)*Settings!$C$6,"Near the reorder point","Not counted for "&amp;INT((Settings!$C$10-AA152)/7)&amp;" weeks")))</f>
        <v/>
      </c>
      <c r="AJ152" s="41">
        <f>IF(AH152=1,IFERROR(MATCH(M152,Settings!$G$19:$G$38,0),99)*1000+ROW(),"")</f>
        <v/>
      </c>
      <c r="AK152" s="41">
        <f>IF(AJ152="","",COUNTIF('Stock list'!$AJ$2:$AJ$301,"&lt;"&amp;AJ152)+1)</f>
        <v/>
      </c>
      <c r="AL152" s="41">
        <f>IF(OR(A152="",N(AC152)=0),"",AC152+ROW()/1000000)</f>
        <v/>
      </c>
    </row>
    <row r="153">
      <c r="A153" s="24" t="n"/>
      <c r="B153" s="30">
        <f>IF(A153="","",IF(AA153=0,"No count",IF(AND(N(O153)&gt;0,C153/O153*7&lt;Q153),"Critical",IF(F153&gt;0,"On order",IF(AND(D153&gt;0,C153&lt;=D153),"Order now","OK")))))</f>
        <v/>
      </c>
      <c r="C153" s="31">
        <f>IF(A153="","",MAX(0,IF(_xlfn.MAXIFS(Log!$A$2:$A$1001,Log!$B$2:$B$1001,A153,Log!$C$2:$C$1001,"Count")&gt;N(S153),_xlfn.MAXIFS(Log!$D$2:$D$1001,Log!$B$2:$B$1001,A153,Log!$C$2:$C$1001,"Count",Log!$A$2:$A$1001,AA153),N(R153))+SUMIFS(Log!$D$2:$D$1001,Log!$B$2:$B$1001,A153,Log!$C$2:$C$1001,"Received",Log!$A$2:$A$1001,"&gt;"&amp;AA153)-SUMIFS(Log!$D$2:$D$1001,Log!$B$2:$B$1001,A153,Log!$C$2:$C$1001,"Used",Log!$A$2:$A$1001,"&gt;"&amp;AA153)+SUMIFS(Log!$D$2:$D$1001,Log!$B$2:$B$1001,A153,Log!$C$2:$C$1001,"Adjustment",Log!$A$2:$A$1001,"&gt;"&amp;AA153)))</f>
        <v/>
      </c>
      <c r="D153" s="32">
        <f>IF(A153="","",IF(X153&lt;&gt;"",X153,W153))</f>
        <v/>
      </c>
      <c r="E153" s="33">
        <f>IF(OR(A153="",N(O153)=0),"",C153/O153)</f>
        <v/>
      </c>
      <c r="F153" s="31">
        <f>IF(A153="","",MAX(0,N(T153)-SUMIFS(Log!$D$2:$D$1001,Log!$B$2:$B$1001,A153,Log!$C$2:$C$1001,"Received",Log!$A$2:$A$1001,"&gt;="&amp;N(U153))))</f>
        <v/>
      </c>
      <c r="G153" s="24" t="n"/>
      <c r="H153" s="24" t="n"/>
      <c r="I153" s="24" t="n"/>
      <c r="J153" s="24" t="n"/>
      <c r="K153" s="24" t="n"/>
      <c r="L153" s="34" t="n"/>
      <c r="M153" s="24" t="n"/>
      <c r="N153" s="24" t="n"/>
      <c r="O153" s="35" t="n"/>
      <c r="P153" s="25" t="n"/>
      <c r="Q153" s="36">
        <f>IF(A153="","",IF(P153&lt;&gt;"",P153,IFERROR(IF(N(INDEX(Suppliers!$E$5:$E$24,MATCH(H153,Suppliers!$B$5:$B$24,0)))&gt;0,INDEX(Suppliers!$E$5:$E$24,MATCH(H153,Suppliers!$B$5:$B$24,0)),5),5)))</f>
        <v/>
      </c>
      <c r="R153" s="35" t="n"/>
      <c r="S153" s="37" t="n"/>
      <c r="T153" s="25" t="n"/>
      <c r="U153" s="37" t="n"/>
      <c r="V153" s="37" t="n"/>
      <c r="W153" s="36">
        <f>IF(A153="","",ROUNDUP(N(O153)*(Q153/7+Settings!$C$5),0))</f>
        <v/>
      </c>
      <c r="X153" s="25" t="n"/>
      <c r="Y153" s="25" t="n"/>
      <c r="Z153" s="32">
        <f>IF(A153="","",IF(Y153&lt;&gt;"",Y153,MAX(1,ROUNDUP(N(O153)*Settings!$C$7,0))))</f>
        <v/>
      </c>
      <c r="AA153" s="38">
        <f>IF(A153="","",MAX(N(S153),_xlfn.MAXIFS(Log!$A$2:$A$1001,Log!$B$2:$B$1001,A153,Log!$C$2:$C$1001,"Count")))</f>
        <v/>
      </c>
      <c r="AB153" s="39">
        <f>IF(A153="","",Z153*N(L153))</f>
        <v/>
      </c>
      <c r="AC153" s="40">
        <f>IF(A153="","",N(O153)*52*N(L153))</f>
        <v/>
      </c>
      <c r="AD153" s="39">
        <f>IF(A153="","",C153*N(L153))</f>
        <v/>
      </c>
      <c r="AE153" s="41">
        <f>IF(A153="",0,IF(AND(OR(B153="Order now",B153="Critical"),F153=0),1,0))</f>
        <v/>
      </c>
      <c r="AF153" s="41">
        <f>IF(AE153=1,IFERROR(MATCH(H153,Suppliers!$B$5:$B$24,0),99)*1000+ROW(),"")</f>
        <v/>
      </c>
      <c r="AG153" s="41">
        <f>IF(AF153="","",COUNTIF('Stock list'!$AF$2:$AF$301,"&lt;"&amp;AF153)+1)</f>
        <v/>
      </c>
      <c r="AH153" s="41">
        <f>IF(A153="",0,IF(OR(AA153=0,AND(B153="OK",OR(C153&lt;=D153+N(O153)*Settings!$C$6,Settings!$C$10-AA153&gt;Settings!$C$8*7))),1,0))</f>
        <v/>
      </c>
      <c r="AI153" s="41">
        <f>IF(AH153=0,"",IF(AA153=0,"Never counted",IF(C153&lt;=D153+N(O153)*Settings!$C$6,"Near the reorder point","Not counted for "&amp;INT((Settings!$C$10-AA153)/7)&amp;" weeks")))</f>
        <v/>
      </c>
      <c r="AJ153" s="41">
        <f>IF(AH153=1,IFERROR(MATCH(M153,Settings!$G$19:$G$38,0),99)*1000+ROW(),"")</f>
        <v/>
      </c>
      <c r="AK153" s="41">
        <f>IF(AJ153="","",COUNTIF('Stock list'!$AJ$2:$AJ$301,"&lt;"&amp;AJ153)+1)</f>
        <v/>
      </c>
      <c r="AL153" s="41">
        <f>IF(OR(A153="",N(AC153)=0),"",AC153+ROW()/1000000)</f>
        <v/>
      </c>
    </row>
    <row r="154">
      <c r="A154" s="24" t="n"/>
      <c r="B154" s="30">
        <f>IF(A154="","",IF(AA154=0,"No count",IF(AND(N(O154)&gt;0,C154/O154*7&lt;Q154),"Critical",IF(F154&gt;0,"On order",IF(AND(D154&gt;0,C154&lt;=D154),"Order now","OK")))))</f>
        <v/>
      </c>
      <c r="C154" s="31">
        <f>IF(A154="","",MAX(0,IF(_xlfn.MAXIFS(Log!$A$2:$A$1001,Log!$B$2:$B$1001,A154,Log!$C$2:$C$1001,"Count")&gt;N(S154),_xlfn.MAXIFS(Log!$D$2:$D$1001,Log!$B$2:$B$1001,A154,Log!$C$2:$C$1001,"Count",Log!$A$2:$A$1001,AA154),N(R154))+SUMIFS(Log!$D$2:$D$1001,Log!$B$2:$B$1001,A154,Log!$C$2:$C$1001,"Received",Log!$A$2:$A$1001,"&gt;"&amp;AA154)-SUMIFS(Log!$D$2:$D$1001,Log!$B$2:$B$1001,A154,Log!$C$2:$C$1001,"Used",Log!$A$2:$A$1001,"&gt;"&amp;AA154)+SUMIFS(Log!$D$2:$D$1001,Log!$B$2:$B$1001,A154,Log!$C$2:$C$1001,"Adjustment",Log!$A$2:$A$1001,"&gt;"&amp;AA154)))</f>
        <v/>
      </c>
      <c r="D154" s="32">
        <f>IF(A154="","",IF(X154&lt;&gt;"",X154,W154))</f>
        <v/>
      </c>
      <c r="E154" s="33">
        <f>IF(OR(A154="",N(O154)=0),"",C154/O154)</f>
        <v/>
      </c>
      <c r="F154" s="31">
        <f>IF(A154="","",MAX(0,N(T154)-SUMIFS(Log!$D$2:$D$1001,Log!$B$2:$B$1001,A154,Log!$C$2:$C$1001,"Received",Log!$A$2:$A$1001,"&gt;="&amp;N(U154))))</f>
        <v/>
      </c>
      <c r="G154" s="24" t="n"/>
      <c r="H154" s="24" t="n"/>
      <c r="I154" s="24" t="n"/>
      <c r="J154" s="24" t="n"/>
      <c r="K154" s="24" t="n"/>
      <c r="L154" s="34" t="n"/>
      <c r="M154" s="24" t="n"/>
      <c r="N154" s="24" t="n"/>
      <c r="O154" s="35" t="n"/>
      <c r="P154" s="25" t="n"/>
      <c r="Q154" s="36">
        <f>IF(A154="","",IF(P154&lt;&gt;"",P154,IFERROR(IF(N(INDEX(Suppliers!$E$5:$E$24,MATCH(H154,Suppliers!$B$5:$B$24,0)))&gt;0,INDEX(Suppliers!$E$5:$E$24,MATCH(H154,Suppliers!$B$5:$B$24,0)),5),5)))</f>
        <v/>
      </c>
      <c r="R154" s="35" t="n"/>
      <c r="S154" s="37" t="n"/>
      <c r="T154" s="25" t="n"/>
      <c r="U154" s="37" t="n"/>
      <c r="V154" s="37" t="n"/>
      <c r="W154" s="36">
        <f>IF(A154="","",ROUNDUP(N(O154)*(Q154/7+Settings!$C$5),0))</f>
        <v/>
      </c>
      <c r="X154" s="25" t="n"/>
      <c r="Y154" s="25" t="n"/>
      <c r="Z154" s="32">
        <f>IF(A154="","",IF(Y154&lt;&gt;"",Y154,MAX(1,ROUNDUP(N(O154)*Settings!$C$7,0))))</f>
        <v/>
      </c>
      <c r="AA154" s="38">
        <f>IF(A154="","",MAX(N(S154),_xlfn.MAXIFS(Log!$A$2:$A$1001,Log!$B$2:$B$1001,A154,Log!$C$2:$C$1001,"Count")))</f>
        <v/>
      </c>
      <c r="AB154" s="39">
        <f>IF(A154="","",Z154*N(L154))</f>
        <v/>
      </c>
      <c r="AC154" s="40">
        <f>IF(A154="","",N(O154)*52*N(L154))</f>
        <v/>
      </c>
      <c r="AD154" s="39">
        <f>IF(A154="","",C154*N(L154))</f>
        <v/>
      </c>
      <c r="AE154" s="41">
        <f>IF(A154="",0,IF(AND(OR(B154="Order now",B154="Critical"),F154=0),1,0))</f>
        <v/>
      </c>
      <c r="AF154" s="41">
        <f>IF(AE154=1,IFERROR(MATCH(H154,Suppliers!$B$5:$B$24,0),99)*1000+ROW(),"")</f>
        <v/>
      </c>
      <c r="AG154" s="41">
        <f>IF(AF154="","",COUNTIF('Stock list'!$AF$2:$AF$301,"&lt;"&amp;AF154)+1)</f>
        <v/>
      </c>
      <c r="AH154" s="41">
        <f>IF(A154="",0,IF(OR(AA154=0,AND(B154="OK",OR(C154&lt;=D154+N(O154)*Settings!$C$6,Settings!$C$10-AA154&gt;Settings!$C$8*7))),1,0))</f>
        <v/>
      </c>
      <c r="AI154" s="41">
        <f>IF(AH154=0,"",IF(AA154=0,"Never counted",IF(C154&lt;=D154+N(O154)*Settings!$C$6,"Near the reorder point","Not counted for "&amp;INT((Settings!$C$10-AA154)/7)&amp;" weeks")))</f>
        <v/>
      </c>
      <c r="AJ154" s="41">
        <f>IF(AH154=1,IFERROR(MATCH(M154,Settings!$G$19:$G$38,0),99)*1000+ROW(),"")</f>
        <v/>
      </c>
      <c r="AK154" s="41">
        <f>IF(AJ154="","",COUNTIF('Stock list'!$AJ$2:$AJ$301,"&lt;"&amp;AJ154)+1)</f>
        <v/>
      </c>
      <c r="AL154" s="41">
        <f>IF(OR(A154="",N(AC154)=0),"",AC154+ROW()/1000000)</f>
        <v/>
      </c>
    </row>
    <row r="155">
      <c r="A155" s="24" t="n"/>
      <c r="B155" s="30">
        <f>IF(A155="","",IF(AA155=0,"No count",IF(AND(N(O155)&gt;0,C155/O155*7&lt;Q155),"Critical",IF(F155&gt;0,"On order",IF(AND(D155&gt;0,C155&lt;=D155),"Order now","OK")))))</f>
        <v/>
      </c>
      <c r="C155" s="31">
        <f>IF(A155="","",MAX(0,IF(_xlfn.MAXIFS(Log!$A$2:$A$1001,Log!$B$2:$B$1001,A155,Log!$C$2:$C$1001,"Count")&gt;N(S155),_xlfn.MAXIFS(Log!$D$2:$D$1001,Log!$B$2:$B$1001,A155,Log!$C$2:$C$1001,"Count",Log!$A$2:$A$1001,AA155),N(R155))+SUMIFS(Log!$D$2:$D$1001,Log!$B$2:$B$1001,A155,Log!$C$2:$C$1001,"Received",Log!$A$2:$A$1001,"&gt;"&amp;AA155)-SUMIFS(Log!$D$2:$D$1001,Log!$B$2:$B$1001,A155,Log!$C$2:$C$1001,"Used",Log!$A$2:$A$1001,"&gt;"&amp;AA155)+SUMIFS(Log!$D$2:$D$1001,Log!$B$2:$B$1001,A155,Log!$C$2:$C$1001,"Adjustment",Log!$A$2:$A$1001,"&gt;"&amp;AA155)))</f>
        <v/>
      </c>
      <c r="D155" s="32">
        <f>IF(A155="","",IF(X155&lt;&gt;"",X155,W155))</f>
        <v/>
      </c>
      <c r="E155" s="33">
        <f>IF(OR(A155="",N(O155)=0),"",C155/O155)</f>
        <v/>
      </c>
      <c r="F155" s="31">
        <f>IF(A155="","",MAX(0,N(T155)-SUMIFS(Log!$D$2:$D$1001,Log!$B$2:$B$1001,A155,Log!$C$2:$C$1001,"Received",Log!$A$2:$A$1001,"&gt;="&amp;N(U155))))</f>
        <v/>
      </c>
      <c r="G155" s="24" t="n"/>
      <c r="H155" s="24" t="n"/>
      <c r="I155" s="24" t="n"/>
      <c r="J155" s="24" t="n"/>
      <c r="K155" s="24" t="n"/>
      <c r="L155" s="34" t="n"/>
      <c r="M155" s="24" t="n"/>
      <c r="N155" s="24" t="n"/>
      <c r="O155" s="35" t="n"/>
      <c r="P155" s="25" t="n"/>
      <c r="Q155" s="36">
        <f>IF(A155="","",IF(P155&lt;&gt;"",P155,IFERROR(IF(N(INDEX(Suppliers!$E$5:$E$24,MATCH(H155,Suppliers!$B$5:$B$24,0)))&gt;0,INDEX(Suppliers!$E$5:$E$24,MATCH(H155,Suppliers!$B$5:$B$24,0)),5),5)))</f>
        <v/>
      </c>
      <c r="R155" s="35" t="n"/>
      <c r="S155" s="37" t="n"/>
      <c r="T155" s="25" t="n"/>
      <c r="U155" s="37" t="n"/>
      <c r="V155" s="37" t="n"/>
      <c r="W155" s="36">
        <f>IF(A155="","",ROUNDUP(N(O155)*(Q155/7+Settings!$C$5),0))</f>
        <v/>
      </c>
      <c r="X155" s="25" t="n"/>
      <c r="Y155" s="25" t="n"/>
      <c r="Z155" s="32">
        <f>IF(A155="","",IF(Y155&lt;&gt;"",Y155,MAX(1,ROUNDUP(N(O155)*Settings!$C$7,0))))</f>
        <v/>
      </c>
      <c r="AA155" s="38">
        <f>IF(A155="","",MAX(N(S155),_xlfn.MAXIFS(Log!$A$2:$A$1001,Log!$B$2:$B$1001,A155,Log!$C$2:$C$1001,"Count")))</f>
        <v/>
      </c>
      <c r="AB155" s="39">
        <f>IF(A155="","",Z155*N(L155))</f>
        <v/>
      </c>
      <c r="AC155" s="40">
        <f>IF(A155="","",N(O155)*52*N(L155))</f>
        <v/>
      </c>
      <c r="AD155" s="39">
        <f>IF(A155="","",C155*N(L155))</f>
        <v/>
      </c>
      <c r="AE155" s="41">
        <f>IF(A155="",0,IF(AND(OR(B155="Order now",B155="Critical"),F155=0),1,0))</f>
        <v/>
      </c>
      <c r="AF155" s="41">
        <f>IF(AE155=1,IFERROR(MATCH(H155,Suppliers!$B$5:$B$24,0),99)*1000+ROW(),"")</f>
        <v/>
      </c>
      <c r="AG155" s="41">
        <f>IF(AF155="","",COUNTIF('Stock list'!$AF$2:$AF$301,"&lt;"&amp;AF155)+1)</f>
        <v/>
      </c>
      <c r="AH155" s="41">
        <f>IF(A155="",0,IF(OR(AA155=0,AND(B155="OK",OR(C155&lt;=D155+N(O155)*Settings!$C$6,Settings!$C$10-AA155&gt;Settings!$C$8*7))),1,0))</f>
        <v/>
      </c>
      <c r="AI155" s="41">
        <f>IF(AH155=0,"",IF(AA155=0,"Never counted",IF(C155&lt;=D155+N(O155)*Settings!$C$6,"Near the reorder point","Not counted for "&amp;INT((Settings!$C$10-AA155)/7)&amp;" weeks")))</f>
        <v/>
      </c>
      <c r="AJ155" s="41">
        <f>IF(AH155=1,IFERROR(MATCH(M155,Settings!$G$19:$G$38,0),99)*1000+ROW(),"")</f>
        <v/>
      </c>
      <c r="AK155" s="41">
        <f>IF(AJ155="","",COUNTIF('Stock list'!$AJ$2:$AJ$301,"&lt;"&amp;AJ155)+1)</f>
        <v/>
      </c>
      <c r="AL155" s="41">
        <f>IF(OR(A155="",N(AC155)=0),"",AC155+ROW()/1000000)</f>
        <v/>
      </c>
    </row>
    <row r="156">
      <c r="A156" s="24" t="n"/>
      <c r="B156" s="30">
        <f>IF(A156="","",IF(AA156=0,"No count",IF(AND(N(O156)&gt;0,C156/O156*7&lt;Q156),"Critical",IF(F156&gt;0,"On order",IF(AND(D156&gt;0,C156&lt;=D156),"Order now","OK")))))</f>
        <v/>
      </c>
      <c r="C156" s="31">
        <f>IF(A156="","",MAX(0,IF(_xlfn.MAXIFS(Log!$A$2:$A$1001,Log!$B$2:$B$1001,A156,Log!$C$2:$C$1001,"Count")&gt;N(S156),_xlfn.MAXIFS(Log!$D$2:$D$1001,Log!$B$2:$B$1001,A156,Log!$C$2:$C$1001,"Count",Log!$A$2:$A$1001,AA156),N(R156))+SUMIFS(Log!$D$2:$D$1001,Log!$B$2:$B$1001,A156,Log!$C$2:$C$1001,"Received",Log!$A$2:$A$1001,"&gt;"&amp;AA156)-SUMIFS(Log!$D$2:$D$1001,Log!$B$2:$B$1001,A156,Log!$C$2:$C$1001,"Used",Log!$A$2:$A$1001,"&gt;"&amp;AA156)+SUMIFS(Log!$D$2:$D$1001,Log!$B$2:$B$1001,A156,Log!$C$2:$C$1001,"Adjustment",Log!$A$2:$A$1001,"&gt;"&amp;AA156)))</f>
        <v/>
      </c>
      <c r="D156" s="32">
        <f>IF(A156="","",IF(X156&lt;&gt;"",X156,W156))</f>
        <v/>
      </c>
      <c r="E156" s="33">
        <f>IF(OR(A156="",N(O156)=0),"",C156/O156)</f>
        <v/>
      </c>
      <c r="F156" s="31">
        <f>IF(A156="","",MAX(0,N(T156)-SUMIFS(Log!$D$2:$D$1001,Log!$B$2:$B$1001,A156,Log!$C$2:$C$1001,"Received",Log!$A$2:$A$1001,"&gt;="&amp;N(U156))))</f>
        <v/>
      </c>
      <c r="G156" s="24" t="n"/>
      <c r="H156" s="24" t="n"/>
      <c r="I156" s="24" t="n"/>
      <c r="J156" s="24" t="n"/>
      <c r="K156" s="24" t="n"/>
      <c r="L156" s="34" t="n"/>
      <c r="M156" s="24" t="n"/>
      <c r="N156" s="24" t="n"/>
      <c r="O156" s="35" t="n"/>
      <c r="P156" s="25" t="n"/>
      <c r="Q156" s="36">
        <f>IF(A156="","",IF(P156&lt;&gt;"",P156,IFERROR(IF(N(INDEX(Suppliers!$E$5:$E$24,MATCH(H156,Suppliers!$B$5:$B$24,0)))&gt;0,INDEX(Suppliers!$E$5:$E$24,MATCH(H156,Suppliers!$B$5:$B$24,0)),5),5)))</f>
        <v/>
      </c>
      <c r="R156" s="35" t="n"/>
      <c r="S156" s="37" t="n"/>
      <c r="T156" s="25" t="n"/>
      <c r="U156" s="37" t="n"/>
      <c r="V156" s="37" t="n"/>
      <c r="W156" s="36">
        <f>IF(A156="","",ROUNDUP(N(O156)*(Q156/7+Settings!$C$5),0))</f>
        <v/>
      </c>
      <c r="X156" s="25" t="n"/>
      <c r="Y156" s="25" t="n"/>
      <c r="Z156" s="32">
        <f>IF(A156="","",IF(Y156&lt;&gt;"",Y156,MAX(1,ROUNDUP(N(O156)*Settings!$C$7,0))))</f>
        <v/>
      </c>
      <c r="AA156" s="38">
        <f>IF(A156="","",MAX(N(S156),_xlfn.MAXIFS(Log!$A$2:$A$1001,Log!$B$2:$B$1001,A156,Log!$C$2:$C$1001,"Count")))</f>
        <v/>
      </c>
      <c r="AB156" s="39">
        <f>IF(A156="","",Z156*N(L156))</f>
        <v/>
      </c>
      <c r="AC156" s="40">
        <f>IF(A156="","",N(O156)*52*N(L156))</f>
        <v/>
      </c>
      <c r="AD156" s="39">
        <f>IF(A156="","",C156*N(L156))</f>
        <v/>
      </c>
      <c r="AE156" s="41">
        <f>IF(A156="",0,IF(AND(OR(B156="Order now",B156="Critical"),F156=0),1,0))</f>
        <v/>
      </c>
      <c r="AF156" s="41">
        <f>IF(AE156=1,IFERROR(MATCH(H156,Suppliers!$B$5:$B$24,0),99)*1000+ROW(),"")</f>
        <v/>
      </c>
      <c r="AG156" s="41">
        <f>IF(AF156="","",COUNTIF('Stock list'!$AF$2:$AF$301,"&lt;"&amp;AF156)+1)</f>
        <v/>
      </c>
      <c r="AH156" s="41">
        <f>IF(A156="",0,IF(OR(AA156=0,AND(B156="OK",OR(C156&lt;=D156+N(O156)*Settings!$C$6,Settings!$C$10-AA156&gt;Settings!$C$8*7))),1,0))</f>
        <v/>
      </c>
      <c r="AI156" s="41">
        <f>IF(AH156=0,"",IF(AA156=0,"Never counted",IF(C156&lt;=D156+N(O156)*Settings!$C$6,"Near the reorder point","Not counted for "&amp;INT((Settings!$C$10-AA156)/7)&amp;" weeks")))</f>
        <v/>
      </c>
      <c r="AJ156" s="41">
        <f>IF(AH156=1,IFERROR(MATCH(M156,Settings!$G$19:$G$38,0),99)*1000+ROW(),"")</f>
        <v/>
      </c>
      <c r="AK156" s="41">
        <f>IF(AJ156="","",COUNTIF('Stock list'!$AJ$2:$AJ$301,"&lt;"&amp;AJ156)+1)</f>
        <v/>
      </c>
      <c r="AL156" s="41">
        <f>IF(OR(A156="",N(AC156)=0),"",AC156+ROW()/1000000)</f>
        <v/>
      </c>
    </row>
    <row r="157">
      <c r="A157" s="24" t="n"/>
      <c r="B157" s="30">
        <f>IF(A157="","",IF(AA157=0,"No count",IF(AND(N(O157)&gt;0,C157/O157*7&lt;Q157),"Critical",IF(F157&gt;0,"On order",IF(AND(D157&gt;0,C157&lt;=D157),"Order now","OK")))))</f>
        <v/>
      </c>
      <c r="C157" s="31">
        <f>IF(A157="","",MAX(0,IF(_xlfn.MAXIFS(Log!$A$2:$A$1001,Log!$B$2:$B$1001,A157,Log!$C$2:$C$1001,"Count")&gt;N(S157),_xlfn.MAXIFS(Log!$D$2:$D$1001,Log!$B$2:$B$1001,A157,Log!$C$2:$C$1001,"Count",Log!$A$2:$A$1001,AA157),N(R157))+SUMIFS(Log!$D$2:$D$1001,Log!$B$2:$B$1001,A157,Log!$C$2:$C$1001,"Received",Log!$A$2:$A$1001,"&gt;"&amp;AA157)-SUMIFS(Log!$D$2:$D$1001,Log!$B$2:$B$1001,A157,Log!$C$2:$C$1001,"Used",Log!$A$2:$A$1001,"&gt;"&amp;AA157)+SUMIFS(Log!$D$2:$D$1001,Log!$B$2:$B$1001,A157,Log!$C$2:$C$1001,"Adjustment",Log!$A$2:$A$1001,"&gt;"&amp;AA157)))</f>
        <v/>
      </c>
      <c r="D157" s="32">
        <f>IF(A157="","",IF(X157&lt;&gt;"",X157,W157))</f>
        <v/>
      </c>
      <c r="E157" s="33">
        <f>IF(OR(A157="",N(O157)=0),"",C157/O157)</f>
        <v/>
      </c>
      <c r="F157" s="31">
        <f>IF(A157="","",MAX(0,N(T157)-SUMIFS(Log!$D$2:$D$1001,Log!$B$2:$B$1001,A157,Log!$C$2:$C$1001,"Received",Log!$A$2:$A$1001,"&gt;="&amp;N(U157))))</f>
        <v/>
      </c>
      <c r="G157" s="24" t="n"/>
      <c r="H157" s="24" t="n"/>
      <c r="I157" s="24" t="n"/>
      <c r="J157" s="24" t="n"/>
      <c r="K157" s="24" t="n"/>
      <c r="L157" s="34" t="n"/>
      <c r="M157" s="24" t="n"/>
      <c r="N157" s="24" t="n"/>
      <c r="O157" s="35" t="n"/>
      <c r="P157" s="25" t="n"/>
      <c r="Q157" s="36">
        <f>IF(A157="","",IF(P157&lt;&gt;"",P157,IFERROR(IF(N(INDEX(Suppliers!$E$5:$E$24,MATCH(H157,Suppliers!$B$5:$B$24,0)))&gt;0,INDEX(Suppliers!$E$5:$E$24,MATCH(H157,Suppliers!$B$5:$B$24,0)),5),5)))</f>
        <v/>
      </c>
      <c r="R157" s="35" t="n"/>
      <c r="S157" s="37" t="n"/>
      <c r="T157" s="25" t="n"/>
      <c r="U157" s="37" t="n"/>
      <c r="V157" s="37" t="n"/>
      <c r="W157" s="36">
        <f>IF(A157="","",ROUNDUP(N(O157)*(Q157/7+Settings!$C$5),0))</f>
        <v/>
      </c>
      <c r="X157" s="25" t="n"/>
      <c r="Y157" s="25" t="n"/>
      <c r="Z157" s="32">
        <f>IF(A157="","",IF(Y157&lt;&gt;"",Y157,MAX(1,ROUNDUP(N(O157)*Settings!$C$7,0))))</f>
        <v/>
      </c>
      <c r="AA157" s="38">
        <f>IF(A157="","",MAX(N(S157),_xlfn.MAXIFS(Log!$A$2:$A$1001,Log!$B$2:$B$1001,A157,Log!$C$2:$C$1001,"Count")))</f>
        <v/>
      </c>
      <c r="AB157" s="39">
        <f>IF(A157="","",Z157*N(L157))</f>
        <v/>
      </c>
      <c r="AC157" s="40">
        <f>IF(A157="","",N(O157)*52*N(L157))</f>
        <v/>
      </c>
      <c r="AD157" s="39">
        <f>IF(A157="","",C157*N(L157))</f>
        <v/>
      </c>
      <c r="AE157" s="41">
        <f>IF(A157="",0,IF(AND(OR(B157="Order now",B157="Critical"),F157=0),1,0))</f>
        <v/>
      </c>
      <c r="AF157" s="41">
        <f>IF(AE157=1,IFERROR(MATCH(H157,Suppliers!$B$5:$B$24,0),99)*1000+ROW(),"")</f>
        <v/>
      </c>
      <c r="AG157" s="41">
        <f>IF(AF157="","",COUNTIF('Stock list'!$AF$2:$AF$301,"&lt;"&amp;AF157)+1)</f>
        <v/>
      </c>
      <c r="AH157" s="41">
        <f>IF(A157="",0,IF(OR(AA157=0,AND(B157="OK",OR(C157&lt;=D157+N(O157)*Settings!$C$6,Settings!$C$10-AA157&gt;Settings!$C$8*7))),1,0))</f>
        <v/>
      </c>
      <c r="AI157" s="41">
        <f>IF(AH157=0,"",IF(AA157=0,"Never counted",IF(C157&lt;=D157+N(O157)*Settings!$C$6,"Near the reorder point","Not counted for "&amp;INT((Settings!$C$10-AA157)/7)&amp;" weeks")))</f>
        <v/>
      </c>
      <c r="AJ157" s="41">
        <f>IF(AH157=1,IFERROR(MATCH(M157,Settings!$G$19:$G$38,0),99)*1000+ROW(),"")</f>
        <v/>
      </c>
      <c r="AK157" s="41">
        <f>IF(AJ157="","",COUNTIF('Stock list'!$AJ$2:$AJ$301,"&lt;"&amp;AJ157)+1)</f>
        <v/>
      </c>
      <c r="AL157" s="41">
        <f>IF(OR(A157="",N(AC157)=0),"",AC157+ROW()/1000000)</f>
        <v/>
      </c>
    </row>
    <row r="158">
      <c r="A158" s="24" t="n"/>
      <c r="B158" s="30">
        <f>IF(A158="","",IF(AA158=0,"No count",IF(AND(N(O158)&gt;0,C158/O158*7&lt;Q158),"Critical",IF(F158&gt;0,"On order",IF(AND(D158&gt;0,C158&lt;=D158),"Order now","OK")))))</f>
        <v/>
      </c>
      <c r="C158" s="31">
        <f>IF(A158="","",MAX(0,IF(_xlfn.MAXIFS(Log!$A$2:$A$1001,Log!$B$2:$B$1001,A158,Log!$C$2:$C$1001,"Count")&gt;N(S158),_xlfn.MAXIFS(Log!$D$2:$D$1001,Log!$B$2:$B$1001,A158,Log!$C$2:$C$1001,"Count",Log!$A$2:$A$1001,AA158),N(R158))+SUMIFS(Log!$D$2:$D$1001,Log!$B$2:$B$1001,A158,Log!$C$2:$C$1001,"Received",Log!$A$2:$A$1001,"&gt;"&amp;AA158)-SUMIFS(Log!$D$2:$D$1001,Log!$B$2:$B$1001,A158,Log!$C$2:$C$1001,"Used",Log!$A$2:$A$1001,"&gt;"&amp;AA158)+SUMIFS(Log!$D$2:$D$1001,Log!$B$2:$B$1001,A158,Log!$C$2:$C$1001,"Adjustment",Log!$A$2:$A$1001,"&gt;"&amp;AA158)))</f>
        <v/>
      </c>
      <c r="D158" s="32">
        <f>IF(A158="","",IF(X158&lt;&gt;"",X158,W158))</f>
        <v/>
      </c>
      <c r="E158" s="33">
        <f>IF(OR(A158="",N(O158)=0),"",C158/O158)</f>
        <v/>
      </c>
      <c r="F158" s="31">
        <f>IF(A158="","",MAX(0,N(T158)-SUMIFS(Log!$D$2:$D$1001,Log!$B$2:$B$1001,A158,Log!$C$2:$C$1001,"Received",Log!$A$2:$A$1001,"&gt;="&amp;N(U158))))</f>
        <v/>
      </c>
      <c r="G158" s="24" t="n"/>
      <c r="H158" s="24" t="n"/>
      <c r="I158" s="24" t="n"/>
      <c r="J158" s="24" t="n"/>
      <c r="K158" s="24" t="n"/>
      <c r="L158" s="34" t="n"/>
      <c r="M158" s="24" t="n"/>
      <c r="N158" s="24" t="n"/>
      <c r="O158" s="35" t="n"/>
      <c r="P158" s="25" t="n"/>
      <c r="Q158" s="36">
        <f>IF(A158="","",IF(P158&lt;&gt;"",P158,IFERROR(IF(N(INDEX(Suppliers!$E$5:$E$24,MATCH(H158,Suppliers!$B$5:$B$24,0)))&gt;0,INDEX(Suppliers!$E$5:$E$24,MATCH(H158,Suppliers!$B$5:$B$24,0)),5),5)))</f>
        <v/>
      </c>
      <c r="R158" s="35" t="n"/>
      <c r="S158" s="37" t="n"/>
      <c r="T158" s="25" t="n"/>
      <c r="U158" s="37" t="n"/>
      <c r="V158" s="37" t="n"/>
      <c r="W158" s="36">
        <f>IF(A158="","",ROUNDUP(N(O158)*(Q158/7+Settings!$C$5),0))</f>
        <v/>
      </c>
      <c r="X158" s="25" t="n"/>
      <c r="Y158" s="25" t="n"/>
      <c r="Z158" s="32">
        <f>IF(A158="","",IF(Y158&lt;&gt;"",Y158,MAX(1,ROUNDUP(N(O158)*Settings!$C$7,0))))</f>
        <v/>
      </c>
      <c r="AA158" s="38">
        <f>IF(A158="","",MAX(N(S158),_xlfn.MAXIFS(Log!$A$2:$A$1001,Log!$B$2:$B$1001,A158,Log!$C$2:$C$1001,"Count")))</f>
        <v/>
      </c>
      <c r="AB158" s="39">
        <f>IF(A158="","",Z158*N(L158))</f>
        <v/>
      </c>
      <c r="AC158" s="40">
        <f>IF(A158="","",N(O158)*52*N(L158))</f>
        <v/>
      </c>
      <c r="AD158" s="39">
        <f>IF(A158="","",C158*N(L158))</f>
        <v/>
      </c>
      <c r="AE158" s="41">
        <f>IF(A158="",0,IF(AND(OR(B158="Order now",B158="Critical"),F158=0),1,0))</f>
        <v/>
      </c>
      <c r="AF158" s="41">
        <f>IF(AE158=1,IFERROR(MATCH(H158,Suppliers!$B$5:$B$24,0),99)*1000+ROW(),"")</f>
        <v/>
      </c>
      <c r="AG158" s="41">
        <f>IF(AF158="","",COUNTIF('Stock list'!$AF$2:$AF$301,"&lt;"&amp;AF158)+1)</f>
        <v/>
      </c>
      <c r="AH158" s="41">
        <f>IF(A158="",0,IF(OR(AA158=0,AND(B158="OK",OR(C158&lt;=D158+N(O158)*Settings!$C$6,Settings!$C$10-AA158&gt;Settings!$C$8*7))),1,0))</f>
        <v/>
      </c>
      <c r="AI158" s="41">
        <f>IF(AH158=0,"",IF(AA158=0,"Never counted",IF(C158&lt;=D158+N(O158)*Settings!$C$6,"Near the reorder point","Not counted for "&amp;INT((Settings!$C$10-AA158)/7)&amp;" weeks")))</f>
        <v/>
      </c>
      <c r="AJ158" s="41">
        <f>IF(AH158=1,IFERROR(MATCH(M158,Settings!$G$19:$G$38,0),99)*1000+ROW(),"")</f>
        <v/>
      </c>
      <c r="AK158" s="41">
        <f>IF(AJ158="","",COUNTIF('Stock list'!$AJ$2:$AJ$301,"&lt;"&amp;AJ158)+1)</f>
        <v/>
      </c>
      <c r="AL158" s="41">
        <f>IF(OR(A158="",N(AC158)=0),"",AC158+ROW()/1000000)</f>
        <v/>
      </c>
    </row>
    <row r="159">
      <c r="A159" s="24" t="n"/>
      <c r="B159" s="30">
        <f>IF(A159="","",IF(AA159=0,"No count",IF(AND(N(O159)&gt;0,C159/O159*7&lt;Q159),"Critical",IF(F159&gt;0,"On order",IF(AND(D159&gt;0,C159&lt;=D159),"Order now","OK")))))</f>
        <v/>
      </c>
      <c r="C159" s="31">
        <f>IF(A159="","",MAX(0,IF(_xlfn.MAXIFS(Log!$A$2:$A$1001,Log!$B$2:$B$1001,A159,Log!$C$2:$C$1001,"Count")&gt;N(S159),_xlfn.MAXIFS(Log!$D$2:$D$1001,Log!$B$2:$B$1001,A159,Log!$C$2:$C$1001,"Count",Log!$A$2:$A$1001,AA159),N(R159))+SUMIFS(Log!$D$2:$D$1001,Log!$B$2:$B$1001,A159,Log!$C$2:$C$1001,"Received",Log!$A$2:$A$1001,"&gt;"&amp;AA159)-SUMIFS(Log!$D$2:$D$1001,Log!$B$2:$B$1001,A159,Log!$C$2:$C$1001,"Used",Log!$A$2:$A$1001,"&gt;"&amp;AA159)+SUMIFS(Log!$D$2:$D$1001,Log!$B$2:$B$1001,A159,Log!$C$2:$C$1001,"Adjustment",Log!$A$2:$A$1001,"&gt;"&amp;AA159)))</f>
        <v/>
      </c>
      <c r="D159" s="32">
        <f>IF(A159="","",IF(X159&lt;&gt;"",X159,W159))</f>
        <v/>
      </c>
      <c r="E159" s="33">
        <f>IF(OR(A159="",N(O159)=0),"",C159/O159)</f>
        <v/>
      </c>
      <c r="F159" s="31">
        <f>IF(A159="","",MAX(0,N(T159)-SUMIFS(Log!$D$2:$D$1001,Log!$B$2:$B$1001,A159,Log!$C$2:$C$1001,"Received",Log!$A$2:$A$1001,"&gt;="&amp;N(U159))))</f>
        <v/>
      </c>
      <c r="G159" s="24" t="n"/>
      <c r="H159" s="24" t="n"/>
      <c r="I159" s="24" t="n"/>
      <c r="J159" s="24" t="n"/>
      <c r="K159" s="24" t="n"/>
      <c r="L159" s="34" t="n"/>
      <c r="M159" s="24" t="n"/>
      <c r="N159" s="24" t="n"/>
      <c r="O159" s="35" t="n"/>
      <c r="P159" s="25" t="n"/>
      <c r="Q159" s="36">
        <f>IF(A159="","",IF(P159&lt;&gt;"",P159,IFERROR(IF(N(INDEX(Suppliers!$E$5:$E$24,MATCH(H159,Suppliers!$B$5:$B$24,0)))&gt;0,INDEX(Suppliers!$E$5:$E$24,MATCH(H159,Suppliers!$B$5:$B$24,0)),5),5)))</f>
        <v/>
      </c>
      <c r="R159" s="35" t="n"/>
      <c r="S159" s="37" t="n"/>
      <c r="T159" s="25" t="n"/>
      <c r="U159" s="37" t="n"/>
      <c r="V159" s="37" t="n"/>
      <c r="W159" s="36">
        <f>IF(A159="","",ROUNDUP(N(O159)*(Q159/7+Settings!$C$5),0))</f>
        <v/>
      </c>
      <c r="X159" s="25" t="n"/>
      <c r="Y159" s="25" t="n"/>
      <c r="Z159" s="32">
        <f>IF(A159="","",IF(Y159&lt;&gt;"",Y159,MAX(1,ROUNDUP(N(O159)*Settings!$C$7,0))))</f>
        <v/>
      </c>
      <c r="AA159" s="38">
        <f>IF(A159="","",MAX(N(S159),_xlfn.MAXIFS(Log!$A$2:$A$1001,Log!$B$2:$B$1001,A159,Log!$C$2:$C$1001,"Count")))</f>
        <v/>
      </c>
      <c r="AB159" s="39">
        <f>IF(A159="","",Z159*N(L159))</f>
        <v/>
      </c>
      <c r="AC159" s="40">
        <f>IF(A159="","",N(O159)*52*N(L159))</f>
        <v/>
      </c>
      <c r="AD159" s="39">
        <f>IF(A159="","",C159*N(L159))</f>
        <v/>
      </c>
      <c r="AE159" s="41">
        <f>IF(A159="",0,IF(AND(OR(B159="Order now",B159="Critical"),F159=0),1,0))</f>
        <v/>
      </c>
      <c r="AF159" s="41">
        <f>IF(AE159=1,IFERROR(MATCH(H159,Suppliers!$B$5:$B$24,0),99)*1000+ROW(),"")</f>
        <v/>
      </c>
      <c r="AG159" s="41">
        <f>IF(AF159="","",COUNTIF('Stock list'!$AF$2:$AF$301,"&lt;"&amp;AF159)+1)</f>
        <v/>
      </c>
      <c r="AH159" s="41">
        <f>IF(A159="",0,IF(OR(AA159=0,AND(B159="OK",OR(C159&lt;=D159+N(O159)*Settings!$C$6,Settings!$C$10-AA159&gt;Settings!$C$8*7))),1,0))</f>
        <v/>
      </c>
      <c r="AI159" s="41">
        <f>IF(AH159=0,"",IF(AA159=0,"Never counted",IF(C159&lt;=D159+N(O159)*Settings!$C$6,"Near the reorder point","Not counted for "&amp;INT((Settings!$C$10-AA159)/7)&amp;" weeks")))</f>
        <v/>
      </c>
      <c r="AJ159" s="41">
        <f>IF(AH159=1,IFERROR(MATCH(M159,Settings!$G$19:$G$38,0),99)*1000+ROW(),"")</f>
        <v/>
      </c>
      <c r="AK159" s="41">
        <f>IF(AJ159="","",COUNTIF('Stock list'!$AJ$2:$AJ$301,"&lt;"&amp;AJ159)+1)</f>
        <v/>
      </c>
      <c r="AL159" s="41">
        <f>IF(OR(A159="",N(AC159)=0),"",AC159+ROW()/1000000)</f>
        <v/>
      </c>
    </row>
    <row r="160">
      <c r="A160" s="24" t="n"/>
      <c r="B160" s="30">
        <f>IF(A160="","",IF(AA160=0,"No count",IF(AND(N(O160)&gt;0,C160/O160*7&lt;Q160),"Critical",IF(F160&gt;0,"On order",IF(AND(D160&gt;0,C160&lt;=D160),"Order now","OK")))))</f>
        <v/>
      </c>
      <c r="C160" s="31">
        <f>IF(A160="","",MAX(0,IF(_xlfn.MAXIFS(Log!$A$2:$A$1001,Log!$B$2:$B$1001,A160,Log!$C$2:$C$1001,"Count")&gt;N(S160),_xlfn.MAXIFS(Log!$D$2:$D$1001,Log!$B$2:$B$1001,A160,Log!$C$2:$C$1001,"Count",Log!$A$2:$A$1001,AA160),N(R160))+SUMIFS(Log!$D$2:$D$1001,Log!$B$2:$B$1001,A160,Log!$C$2:$C$1001,"Received",Log!$A$2:$A$1001,"&gt;"&amp;AA160)-SUMIFS(Log!$D$2:$D$1001,Log!$B$2:$B$1001,A160,Log!$C$2:$C$1001,"Used",Log!$A$2:$A$1001,"&gt;"&amp;AA160)+SUMIFS(Log!$D$2:$D$1001,Log!$B$2:$B$1001,A160,Log!$C$2:$C$1001,"Adjustment",Log!$A$2:$A$1001,"&gt;"&amp;AA160)))</f>
        <v/>
      </c>
      <c r="D160" s="32">
        <f>IF(A160="","",IF(X160&lt;&gt;"",X160,W160))</f>
        <v/>
      </c>
      <c r="E160" s="33">
        <f>IF(OR(A160="",N(O160)=0),"",C160/O160)</f>
        <v/>
      </c>
      <c r="F160" s="31">
        <f>IF(A160="","",MAX(0,N(T160)-SUMIFS(Log!$D$2:$D$1001,Log!$B$2:$B$1001,A160,Log!$C$2:$C$1001,"Received",Log!$A$2:$A$1001,"&gt;="&amp;N(U160))))</f>
        <v/>
      </c>
      <c r="G160" s="24" t="n"/>
      <c r="H160" s="24" t="n"/>
      <c r="I160" s="24" t="n"/>
      <c r="J160" s="24" t="n"/>
      <c r="K160" s="24" t="n"/>
      <c r="L160" s="34" t="n"/>
      <c r="M160" s="24" t="n"/>
      <c r="N160" s="24" t="n"/>
      <c r="O160" s="35" t="n"/>
      <c r="P160" s="25" t="n"/>
      <c r="Q160" s="36">
        <f>IF(A160="","",IF(P160&lt;&gt;"",P160,IFERROR(IF(N(INDEX(Suppliers!$E$5:$E$24,MATCH(H160,Suppliers!$B$5:$B$24,0)))&gt;0,INDEX(Suppliers!$E$5:$E$24,MATCH(H160,Suppliers!$B$5:$B$24,0)),5),5)))</f>
        <v/>
      </c>
      <c r="R160" s="35" t="n"/>
      <c r="S160" s="37" t="n"/>
      <c r="T160" s="25" t="n"/>
      <c r="U160" s="37" t="n"/>
      <c r="V160" s="37" t="n"/>
      <c r="W160" s="36">
        <f>IF(A160="","",ROUNDUP(N(O160)*(Q160/7+Settings!$C$5),0))</f>
        <v/>
      </c>
      <c r="X160" s="25" t="n"/>
      <c r="Y160" s="25" t="n"/>
      <c r="Z160" s="32">
        <f>IF(A160="","",IF(Y160&lt;&gt;"",Y160,MAX(1,ROUNDUP(N(O160)*Settings!$C$7,0))))</f>
        <v/>
      </c>
      <c r="AA160" s="38">
        <f>IF(A160="","",MAX(N(S160),_xlfn.MAXIFS(Log!$A$2:$A$1001,Log!$B$2:$B$1001,A160,Log!$C$2:$C$1001,"Count")))</f>
        <v/>
      </c>
      <c r="AB160" s="39">
        <f>IF(A160="","",Z160*N(L160))</f>
        <v/>
      </c>
      <c r="AC160" s="40">
        <f>IF(A160="","",N(O160)*52*N(L160))</f>
        <v/>
      </c>
      <c r="AD160" s="39">
        <f>IF(A160="","",C160*N(L160))</f>
        <v/>
      </c>
      <c r="AE160" s="41">
        <f>IF(A160="",0,IF(AND(OR(B160="Order now",B160="Critical"),F160=0),1,0))</f>
        <v/>
      </c>
      <c r="AF160" s="41">
        <f>IF(AE160=1,IFERROR(MATCH(H160,Suppliers!$B$5:$B$24,0),99)*1000+ROW(),"")</f>
        <v/>
      </c>
      <c r="AG160" s="41">
        <f>IF(AF160="","",COUNTIF('Stock list'!$AF$2:$AF$301,"&lt;"&amp;AF160)+1)</f>
        <v/>
      </c>
      <c r="AH160" s="41">
        <f>IF(A160="",0,IF(OR(AA160=0,AND(B160="OK",OR(C160&lt;=D160+N(O160)*Settings!$C$6,Settings!$C$10-AA160&gt;Settings!$C$8*7))),1,0))</f>
        <v/>
      </c>
      <c r="AI160" s="41">
        <f>IF(AH160=0,"",IF(AA160=0,"Never counted",IF(C160&lt;=D160+N(O160)*Settings!$C$6,"Near the reorder point","Not counted for "&amp;INT((Settings!$C$10-AA160)/7)&amp;" weeks")))</f>
        <v/>
      </c>
      <c r="AJ160" s="41">
        <f>IF(AH160=1,IFERROR(MATCH(M160,Settings!$G$19:$G$38,0),99)*1000+ROW(),"")</f>
        <v/>
      </c>
      <c r="AK160" s="41">
        <f>IF(AJ160="","",COUNTIF('Stock list'!$AJ$2:$AJ$301,"&lt;"&amp;AJ160)+1)</f>
        <v/>
      </c>
      <c r="AL160" s="41">
        <f>IF(OR(A160="",N(AC160)=0),"",AC160+ROW()/1000000)</f>
        <v/>
      </c>
    </row>
    <row r="161">
      <c r="A161" s="24" t="n"/>
      <c r="B161" s="30">
        <f>IF(A161="","",IF(AA161=0,"No count",IF(AND(N(O161)&gt;0,C161/O161*7&lt;Q161),"Critical",IF(F161&gt;0,"On order",IF(AND(D161&gt;0,C161&lt;=D161),"Order now","OK")))))</f>
        <v/>
      </c>
      <c r="C161" s="31">
        <f>IF(A161="","",MAX(0,IF(_xlfn.MAXIFS(Log!$A$2:$A$1001,Log!$B$2:$B$1001,A161,Log!$C$2:$C$1001,"Count")&gt;N(S161),_xlfn.MAXIFS(Log!$D$2:$D$1001,Log!$B$2:$B$1001,A161,Log!$C$2:$C$1001,"Count",Log!$A$2:$A$1001,AA161),N(R161))+SUMIFS(Log!$D$2:$D$1001,Log!$B$2:$B$1001,A161,Log!$C$2:$C$1001,"Received",Log!$A$2:$A$1001,"&gt;"&amp;AA161)-SUMIFS(Log!$D$2:$D$1001,Log!$B$2:$B$1001,A161,Log!$C$2:$C$1001,"Used",Log!$A$2:$A$1001,"&gt;"&amp;AA161)+SUMIFS(Log!$D$2:$D$1001,Log!$B$2:$B$1001,A161,Log!$C$2:$C$1001,"Adjustment",Log!$A$2:$A$1001,"&gt;"&amp;AA161)))</f>
        <v/>
      </c>
      <c r="D161" s="32">
        <f>IF(A161="","",IF(X161&lt;&gt;"",X161,W161))</f>
        <v/>
      </c>
      <c r="E161" s="33">
        <f>IF(OR(A161="",N(O161)=0),"",C161/O161)</f>
        <v/>
      </c>
      <c r="F161" s="31">
        <f>IF(A161="","",MAX(0,N(T161)-SUMIFS(Log!$D$2:$D$1001,Log!$B$2:$B$1001,A161,Log!$C$2:$C$1001,"Received",Log!$A$2:$A$1001,"&gt;="&amp;N(U161))))</f>
        <v/>
      </c>
      <c r="G161" s="24" t="n"/>
      <c r="H161" s="24" t="n"/>
      <c r="I161" s="24" t="n"/>
      <c r="J161" s="24" t="n"/>
      <c r="K161" s="24" t="n"/>
      <c r="L161" s="34" t="n"/>
      <c r="M161" s="24" t="n"/>
      <c r="N161" s="24" t="n"/>
      <c r="O161" s="35" t="n"/>
      <c r="P161" s="25" t="n"/>
      <c r="Q161" s="36">
        <f>IF(A161="","",IF(P161&lt;&gt;"",P161,IFERROR(IF(N(INDEX(Suppliers!$E$5:$E$24,MATCH(H161,Suppliers!$B$5:$B$24,0)))&gt;0,INDEX(Suppliers!$E$5:$E$24,MATCH(H161,Suppliers!$B$5:$B$24,0)),5),5)))</f>
        <v/>
      </c>
      <c r="R161" s="35" t="n"/>
      <c r="S161" s="37" t="n"/>
      <c r="T161" s="25" t="n"/>
      <c r="U161" s="37" t="n"/>
      <c r="V161" s="37" t="n"/>
      <c r="W161" s="36">
        <f>IF(A161="","",ROUNDUP(N(O161)*(Q161/7+Settings!$C$5),0))</f>
        <v/>
      </c>
      <c r="X161" s="25" t="n"/>
      <c r="Y161" s="25" t="n"/>
      <c r="Z161" s="32">
        <f>IF(A161="","",IF(Y161&lt;&gt;"",Y161,MAX(1,ROUNDUP(N(O161)*Settings!$C$7,0))))</f>
        <v/>
      </c>
      <c r="AA161" s="38">
        <f>IF(A161="","",MAX(N(S161),_xlfn.MAXIFS(Log!$A$2:$A$1001,Log!$B$2:$B$1001,A161,Log!$C$2:$C$1001,"Count")))</f>
        <v/>
      </c>
      <c r="AB161" s="39">
        <f>IF(A161="","",Z161*N(L161))</f>
        <v/>
      </c>
      <c r="AC161" s="40">
        <f>IF(A161="","",N(O161)*52*N(L161))</f>
        <v/>
      </c>
      <c r="AD161" s="39">
        <f>IF(A161="","",C161*N(L161))</f>
        <v/>
      </c>
      <c r="AE161" s="41">
        <f>IF(A161="",0,IF(AND(OR(B161="Order now",B161="Critical"),F161=0),1,0))</f>
        <v/>
      </c>
      <c r="AF161" s="41">
        <f>IF(AE161=1,IFERROR(MATCH(H161,Suppliers!$B$5:$B$24,0),99)*1000+ROW(),"")</f>
        <v/>
      </c>
      <c r="AG161" s="41">
        <f>IF(AF161="","",COUNTIF('Stock list'!$AF$2:$AF$301,"&lt;"&amp;AF161)+1)</f>
        <v/>
      </c>
      <c r="AH161" s="41">
        <f>IF(A161="",0,IF(OR(AA161=0,AND(B161="OK",OR(C161&lt;=D161+N(O161)*Settings!$C$6,Settings!$C$10-AA161&gt;Settings!$C$8*7))),1,0))</f>
        <v/>
      </c>
      <c r="AI161" s="41">
        <f>IF(AH161=0,"",IF(AA161=0,"Never counted",IF(C161&lt;=D161+N(O161)*Settings!$C$6,"Near the reorder point","Not counted for "&amp;INT((Settings!$C$10-AA161)/7)&amp;" weeks")))</f>
        <v/>
      </c>
      <c r="AJ161" s="41">
        <f>IF(AH161=1,IFERROR(MATCH(M161,Settings!$G$19:$G$38,0),99)*1000+ROW(),"")</f>
        <v/>
      </c>
      <c r="AK161" s="41">
        <f>IF(AJ161="","",COUNTIF('Stock list'!$AJ$2:$AJ$301,"&lt;"&amp;AJ161)+1)</f>
        <v/>
      </c>
      <c r="AL161" s="41">
        <f>IF(OR(A161="",N(AC161)=0),"",AC161+ROW()/1000000)</f>
        <v/>
      </c>
    </row>
    <row r="162">
      <c r="A162" s="24" t="n"/>
      <c r="B162" s="30">
        <f>IF(A162="","",IF(AA162=0,"No count",IF(AND(N(O162)&gt;0,C162/O162*7&lt;Q162),"Critical",IF(F162&gt;0,"On order",IF(AND(D162&gt;0,C162&lt;=D162),"Order now","OK")))))</f>
        <v/>
      </c>
      <c r="C162" s="31">
        <f>IF(A162="","",MAX(0,IF(_xlfn.MAXIFS(Log!$A$2:$A$1001,Log!$B$2:$B$1001,A162,Log!$C$2:$C$1001,"Count")&gt;N(S162),_xlfn.MAXIFS(Log!$D$2:$D$1001,Log!$B$2:$B$1001,A162,Log!$C$2:$C$1001,"Count",Log!$A$2:$A$1001,AA162),N(R162))+SUMIFS(Log!$D$2:$D$1001,Log!$B$2:$B$1001,A162,Log!$C$2:$C$1001,"Received",Log!$A$2:$A$1001,"&gt;"&amp;AA162)-SUMIFS(Log!$D$2:$D$1001,Log!$B$2:$B$1001,A162,Log!$C$2:$C$1001,"Used",Log!$A$2:$A$1001,"&gt;"&amp;AA162)+SUMIFS(Log!$D$2:$D$1001,Log!$B$2:$B$1001,A162,Log!$C$2:$C$1001,"Adjustment",Log!$A$2:$A$1001,"&gt;"&amp;AA162)))</f>
        <v/>
      </c>
      <c r="D162" s="32">
        <f>IF(A162="","",IF(X162&lt;&gt;"",X162,W162))</f>
        <v/>
      </c>
      <c r="E162" s="33">
        <f>IF(OR(A162="",N(O162)=0),"",C162/O162)</f>
        <v/>
      </c>
      <c r="F162" s="31">
        <f>IF(A162="","",MAX(0,N(T162)-SUMIFS(Log!$D$2:$D$1001,Log!$B$2:$B$1001,A162,Log!$C$2:$C$1001,"Received",Log!$A$2:$A$1001,"&gt;="&amp;N(U162))))</f>
        <v/>
      </c>
      <c r="G162" s="24" t="n"/>
      <c r="H162" s="24" t="n"/>
      <c r="I162" s="24" t="n"/>
      <c r="J162" s="24" t="n"/>
      <c r="K162" s="24" t="n"/>
      <c r="L162" s="34" t="n"/>
      <c r="M162" s="24" t="n"/>
      <c r="N162" s="24" t="n"/>
      <c r="O162" s="35" t="n"/>
      <c r="P162" s="25" t="n"/>
      <c r="Q162" s="36">
        <f>IF(A162="","",IF(P162&lt;&gt;"",P162,IFERROR(IF(N(INDEX(Suppliers!$E$5:$E$24,MATCH(H162,Suppliers!$B$5:$B$24,0)))&gt;0,INDEX(Suppliers!$E$5:$E$24,MATCH(H162,Suppliers!$B$5:$B$24,0)),5),5)))</f>
        <v/>
      </c>
      <c r="R162" s="35" t="n"/>
      <c r="S162" s="37" t="n"/>
      <c r="T162" s="25" t="n"/>
      <c r="U162" s="37" t="n"/>
      <c r="V162" s="37" t="n"/>
      <c r="W162" s="36">
        <f>IF(A162="","",ROUNDUP(N(O162)*(Q162/7+Settings!$C$5),0))</f>
        <v/>
      </c>
      <c r="X162" s="25" t="n"/>
      <c r="Y162" s="25" t="n"/>
      <c r="Z162" s="32">
        <f>IF(A162="","",IF(Y162&lt;&gt;"",Y162,MAX(1,ROUNDUP(N(O162)*Settings!$C$7,0))))</f>
        <v/>
      </c>
      <c r="AA162" s="38">
        <f>IF(A162="","",MAX(N(S162),_xlfn.MAXIFS(Log!$A$2:$A$1001,Log!$B$2:$B$1001,A162,Log!$C$2:$C$1001,"Count")))</f>
        <v/>
      </c>
      <c r="AB162" s="39">
        <f>IF(A162="","",Z162*N(L162))</f>
        <v/>
      </c>
      <c r="AC162" s="40">
        <f>IF(A162="","",N(O162)*52*N(L162))</f>
        <v/>
      </c>
      <c r="AD162" s="39">
        <f>IF(A162="","",C162*N(L162))</f>
        <v/>
      </c>
      <c r="AE162" s="41">
        <f>IF(A162="",0,IF(AND(OR(B162="Order now",B162="Critical"),F162=0),1,0))</f>
        <v/>
      </c>
      <c r="AF162" s="41">
        <f>IF(AE162=1,IFERROR(MATCH(H162,Suppliers!$B$5:$B$24,0),99)*1000+ROW(),"")</f>
        <v/>
      </c>
      <c r="AG162" s="41">
        <f>IF(AF162="","",COUNTIF('Stock list'!$AF$2:$AF$301,"&lt;"&amp;AF162)+1)</f>
        <v/>
      </c>
      <c r="AH162" s="41">
        <f>IF(A162="",0,IF(OR(AA162=0,AND(B162="OK",OR(C162&lt;=D162+N(O162)*Settings!$C$6,Settings!$C$10-AA162&gt;Settings!$C$8*7))),1,0))</f>
        <v/>
      </c>
      <c r="AI162" s="41">
        <f>IF(AH162=0,"",IF(AA162=0,"Never counted",IF(C162&lt;=D162+N(O162)*Settings!$C$6,"Near the reorder point","Not counted for "&amp;INT((Settings!$C$10-AA162)/7)&amp;" weeks")))</f>
        <v/>
      </c>
      <c r="AJ162" s="41">
        <f>IF(AH162=1,IFERROR(MATCH(M162,Settings!$G$19:$G$38,0),99)*1000+ROW(),"")</f>
        <v/>
      </c>
      <c r="AK162" s="41">
        <f>IF(AJ162="","",COUNTIF('Stock list'!$AJ$2:$AJ$301,"&lt;"&amp;AJ162)+1)</f>
        <v/>
      </c>
      <c r="AL162" s="41">
        <f>IF(OR(A162="",N(AC162)=0),"",AC162+ROW()/1000000)</f>
        <v/>
      </c>
    </row>
    <row r="163">
      <c r="A163" s="24" t="n"/>
      <c r="B163" s="30">
        <f>IF(A163="","",IF(AA163=0,"No count",IF(AND(N(O163)&gt;0,C163/O163*7&lt;Q163),"Critical",IF(F163&gt;0,"On order",IF(AND(D163&gt;0,C163&lt;=D163),"Order now","OK")))))</f>
        <v/>
      </c>
      <c r="C163" s="31">
        <f>IF(A163="","",MAX(0,IF(_xlfn.MAXIFS(Log!$A$2:$A$1001,Log!$B$2:$B$1001,A163,Log!$C$2:$C$1001,"Count")&gt;N(S163),_xlfn.MAXIFS(Log!$D$2:$D$1001,Log!$B$2:$B$1001,A163,Log!$C$2:$C$1001,"Count",Log!$A$2:$A$1001,AA163),N(R163))+SUMIFS(Log!$D$2:$D$1001,Log!$B$2:$B$1001,A163,Log!$C$2:$C$1001,"Received",Log!$A$2:$A$1001,"&gt;"&amp;AA163)-SUMIFS(Log!$D$2:$D$1001,Log!$B$2:$B$1001,A163,Log!$C$2:$C$1001,"Used",Log!$A$2:$A$1001,"&gt;"&amp;AA163)+SUMIFS(Log!$D$2:$D$1001,Log!$B$2:$B$1001,A163,Log!$C$2:$C$1001,"Adjustment",Log!$A$2:$A$1001,"&gt;"&amp;AA163)))</f>
        <v/>
      </c>
      <c r="D163" s="32">
        <f>IF(A163="","",IF(X163&lt;&gt;"",X163,W163))</f>
        <v/>
      </c>
      <c r="E163" s="33">
        <f>IF(OR(A163="",N(O163)=0),"",C163/O163)</f>
        <v/>
      </c>
      <c r="F163" s="31">
        <f>IF(A163="","",MAX(0,N(T163)-SUMIFS(Log!$D$2:$D$1001,Log!$B$2:$B$1001,A163,Log!$C$2:$C$1001,"Received",Log!$A$2:$A$1001,"&gt;="&amp;N(U163))))</f>
        <v/>
      </c>
      <c r="G163" s="24" t="n"/>
      <c r="H163" s="24" t="n"/>
      <c r="I163" s="24" t="n"/>
      <c r="J163" s="24" t="n"/>
      <c r="K163" s="24" t="n"/>
      <c r="L163" s="34" t="n"/>
      <c r="M163" s="24" t="n"/>
      <c r="N163" s="24" t="n"/>
      <c r="O163" s="35" t="n"/>
      <c r="P163" s="25" t="n"/>
      <c r="Q163" s="36">
        <f>IF(A163="","",IF(P163&lt;&gt;"",P163,IFERROR(IF(N(INDEX(Suppliers!$E$5:$E$24,MATCH(H163,Suppliers!$B$5:$B$24,0)))&gt;0,INDEX(Suppliers!$E$5:$E$24,MATCH(H163,Suppliers!$B$5:$B$24,0)),5),5)))</f>
        <v/>
      </c>
      <c r="R163" s="35" t="n"/>
      <c r="S163" s="37" t="n"/>
      <c r="T163" s="25" t="n"/>
      <c r="U163" s="37" t="n"/>
      <c r="V163" s="37" t="n"/>
      <c r="W163" s="36">
        <f>IF(A163="","",ROUNDUP(N(O163)*(Q163/7+Settings!$C$5),0))</f>
        <v/>
      </c>
      <c r="X163" s="25" t="n"/>
      <c r="Y163" s="25" t="n"/>
      <c r="Z163" s="32">
        <f>IF(A163="","",IF(Y163&lt;&gt;"",Y163,MAX(1,ROUNDUP(N(O163)*Settings!$C$7,0))))</f>
        <v/>
      </c>
      <c r="AA163" s="38">
        <f>IF(A163="","",MAX(N(S163),_xlfn.MAXIFS(Log!$A$2:$A$1001,Log!$B$2:$B$1001,A163,Log!$C$2:$C$1001,"Count")))</f>
        <v/>
      </c>
      <c r="AB163" s="39">
        <f>IF(A163="","",Z163*N(L163))</f>
        <v/>
      </c>
      <c r="AC163" s="40">
        <f>IF(A163="","",N(O163)*52*N(L163))</f>
        <v/>
      </c>
      <c r="AD163" s="39">
        <f>IF(A163="","",C163*N(L163))</f>
        <v/>
      </c>
      <c r="AE163" s="41">
        <f>IF(A163="",0,IF(AND(OR(B163="Order now",B163="Critical"),F163=0),1,0))</f>
        <v/>
      </c>
      <c r="AF163" s="41">
        <f>IF(AE163=1,IFERROR(MATCH(H163,Suppliers!$B$5:$B$24,0),99)*1000+ROW(),"")</f>
        <v/>
      </c>
      <c r="AG163" s="41">
        <f>IF(AF163="","",COUNTIF('Stock list'!$AF$2:$AF$301,"&lt;"&amp;AF163)+1)</f>
        <v/>
      </c>
      <c r="AH163" s="41">
        <f>IF(A163="",0,IF(OR(AA163=0,AND(B163="OK",OR(C163&lt;=D163+N(O163)*Settings!$C$6,Settings!$C$10-AA163&gt;Settings!$C$8*7))),1,0))</f>
        <v/>
      </c>
      <c r="AI163" s="41">
        <f>IF(AH163=0,"",IF(AA163=0,"Never counted",IF(C163&lt;=D163+N(O163)*Settings!$C$6,"Near the reorder point","Not counted for "&amp;INT((Settings!$C$10-AA163)/7)&amp;" weeks")))</f>
        <v/>
      </c>
      <c r="AJ163" s="41">
        <f>IF(AH163=1,IFERROR(MATCH(M163,Settings!$G$19:$G$38,0),99)*1000+ROW(),"")</f>
        <v/>
      </c>
      <c r="AK163" s="41">
        <f>IF(AJ163="","",COUNTIF('Stock list'!$AJ$2:$AJ$301,"&lt;"&amp;AJ163)+1)</f>
        <v/>
      </c>
      <c r="AL163" s="41">
        <f>IF(OR(A163="",N(AC163)=0),"",AC163+ROW()/1000000)</f>
        <v/>
      </c>
    </row>
    <row r="164">
      <c r="A164" s="24" t="n"/>
      <c r="B164" s="30">
        <f>IF(A164="","",IF(AA164=0,"No count",IF(AND(N(O164)&gt;0,C164/O164*7&lt;Q164),"Critical",IF(F164&gt;0,"On order",IF(AND(D164&gt;0,C164&lt;=D164),"Order now","OK")))))</f>
        <v/>
      </c>
      <c r="C164" s="31">
        <f>IF(A164="","",MAX(0,IF(_xlfn.MAXIFS(Log!$A$2:$A$1001,Log!$B$2:$B$1001,A164,Log!$C$2:$C$1001,"Count")&gt;N(S164),_xlfn.MAXIFS(Log!$D$2:$D$1001,Log!$B$2:$B$1001,A164,Log!$C$2:$C$1001,"Count",Log!$A$2:$A$1001,AA164),N(R164))+SUMIFS(Log!$D$2:$D$1001,Log!$B$2:$B$1001,A164,Log!$C$2:$C$1001,"Received",Log!$A$2:$A$1001,"&gt;"&amp;AA164)-SUMIFS(Log!$D$2:$D$1001,Log!$B$2:$B$1001,A164,Log!$C$2:$C$1001,"Used",Log!$A$2:$A$1001,"&gt;"&amp;AA164)+SUMIFS(Log!$D$2:$D$1001,Log!$B$2:$B$1001,A164,Log!$C$2:$C$1001,"Adjustment",Log!$A$2:$A$1001,"&gt;"&amp;AA164)))</f>
        <v/>
      </c>
      <c r="D164" s="32">
        <f>IF(A164="","",IF(X164&lt;&gt;"",X164,W164))</f>
        <v/>
      </c>
      <c r="E164" s="33">
        <f>IF(OR(A164="",N(O164)=0),"",C164/O164)</f>
        <v/>
      </c>
      <c r="F164" s="31">
        <f>IF(A164="","",MAX(0,N(T164)-SUMIFS(Log!$D$2:$D$1001,Log!$B$2:$B$1001,A164,Log!$C$2:$C$1001,"Received",Log!$A$2:$A$1001,"&gt;="&amp;N(U164))))</f>
        <v/>
      </c>
      <c r="G164" s="24" t="n"/>
      <c r="H164" s="24" t="n"/>
      <c r="I164" s="24" t="n"/>
      <c r="J164" s="24" t="n"/>
      <c r="K164" s="24" t="n"/>
      <c r="L164" s="34" t="n"/>
      <c r="M164" s="24" t="n"/>
      <c r="N164" s="24" t="n"/>
      <c r="O164" s="35" t="n"/>
      <c r="P164" s="25" t="n"/>
      <c r="Q164" s="36">
        <f>IF(A164="","",IF(P164&lt;&gt;"",P164,IFERROR(IF(N(INDEX(Suppliers!$E$5:$E$24,MATCH(H164,Suppliers!$B$5:$B$24,0)))&gt;0,INDEX(Suppliers!$E$5:$E$24,MATCH(H164,Suppliers!$B$5:$B$24,0)),5),5)))</f>
        <v/>
      </c>
      <c r="R164" s="35" t="n"/>
      <c r="S164" s="37" t="n"/>
      <c r="T164" s="25" t="n"/>
      <c r="U164" s="37" t="n"/>
      <c r="V164" s="37" t="n"/>
      <c r="W164" s="36">
        <f>IF(A164="","",ROUNDUP(N(O164)*(Q164/7+Settings!$C$5),0))</f>
        <v/>
      </c>
      <c r="X164" s="25" t="n"/>
      <c r="Y164" s="25" t="n"/>
      <c r="Z164" s="32">
        <f>IF(A164="","",IF(Y164&lt;&gt;"",Y164,MAX(1,ROUNDUP(N(O164)*Settings!$C$7,0))))</f>
        <v/>
      </c>
      <c r="AA164" s="38">
        <f>IF(A164="","",MAX(N(S164),_xlfn.MAXIFS(Log!$A$2:$A$1001,Log!$B$2:$B$1001,A164,Log!$C$2:$C$1001,"Count")))</f>
        <v/>
      </c>
      <c r="AB164" s="39">
        <f>IF(A164="","",Z164*N(L164))</f>
        <v/>
      </c>
      <c r="AC164" s="40">
        <f>IF(A164="","",N(O164)*52*N(L164))</f>
        <v/>
      </c>
      <c r="AD164" s="39">
        <f>IF(A164="","",C164*N(L164))</f>
        <v/>
      </c>
      <c r="AE164" s="41">
        <f>IF(A164="",0,IF(AND(OR(B164="Order now",B164="Critical"),F164=0),1,0))</f>
        <v/>
      </c>
      <c r="AF164" s="41">
        <f>IF(AE164=1,IFERROR(MATCH(H164,Suppliers!$B$5:$B$24,0),99)*1000+ROW(),"")</f>
        <v/>
      </c>
      <c r="AG164" s="41">
        <f>IF(AF164="","",COUNTIF('Stock list'!$AF$2:$AF$301,"&lt;"&amp;AF164)+1)</f>
        <v/>
      </c>
      <c r="AH164" s="41">
        <f>IF(A164="",0,IF(OR(AA164=0,AND(B164="OK",OR(C164&lt;=D164+N(O164)*Settings!$C$6,Settings!$C$10-AA164&gt;Settings!$C$8*7))),1,0))</f>
        <v/>
      </c>
      <c r="AI164" s="41">
        <f>IF(AH164=0,"",IF(AA164=0,"Never counted",IF(C164&lt;=D164+N(O164)*Settings!$C$6,"Near the reorder point","Not counted for "&amp;INT((Settings!$C$10-AA164)/7)&amp;" weeks")))</f>
        <v/>
      </c>
      <c r="AJ164" s="41">
        <f>IF(AH164=1,IFERROR(MATCH(M164,Settings!$G$19:$G$38,0),99)*1000+ROW(),"")</f>
        <v/>
      </c>
      <c r="AK164" s="41">
        <f>IF(AJ164="","",COUNTIF('Stock list'!$AJ$2:$AJ$301,"&lt;"&amp;AJ164)+1)</f>
        <v/>
      </c>
      <c r="AL164" s="41">
        <f>IF(OR(A164="",N(AC164)=0),"",AC164+ROW()/1000000)</f>
        <v/>
      </c>
    </row>
    <row r="165">
      <c r="A165" s="24" t="n"/>
      <c r="B165" s="30">
        <f>IF(A165="","",IF(AA165=0,"No count",IF(AND(N(O165)&gt;0,C165/O165*7&lt;Q165),"Critical",IF(F165&gt;0,"On order",IF(AND(D165&gt;0,C165&lt;=D165),"Order now","OK")))))</f>
        <v/>
      </c>
      <c r="C165" s="31">
        <f>IF(A165="","",MAX(0,IF(_xlfn.MAXIFS(Log!$A$2:$A$1001,Log!$B$2:$B$1001,A165,Log!$C$2:$C$1001,"Count")&gt;N(S165),_xlfn.MAXIFS(Log!$D$2:$D$1001,Log!$B$2:$B$1001,A165,Log!$C$2:$C$1001,"Count",Log!$A$2:$A$1001,AA165),N(R165))+SUMIFS(Log!$D$2:$D$1001,Log!$B$2:$B$1001,A165,Log!$C$2:$C$1001,"Received",Log!$A$2:$A$1001,"&gt;"&amp;AA165)-SUMIFS(Log!$D$2:$D$1001,Log!$B$2:$B$1001,A165,Log!$C$2:$C$1001,"Used",Log!$A$2:$A$1001,"&gt;"&amp;AA165)+SUMIFS(Log!$D$2:$D$1001,Log!$B$2:$B$1001,A165,Log!$C$2:$C$1001,"Adjustment",Log!$A$2:$A$1001,"&gt;"&amp;AA165)))</f>
        <v/>
      </c>
      <c r="D165" s="32">
        <f>IF(A165="","",IF(X165&lt;&gt;"",X165,W165))</f>
        <v/>
      </c>
      <c r="E165" s="33">
        <f>IF(OR(A165="",N(O165)=0),"",C165/O165)</f>
        <v/>
      </c>
      <c r="F165" s="31">
        <f>IF(A165="","",MAX(0,N(T165)-SUMIFS(Log!$D$2:$D$1001,Log!$B$2:$B$1001,A165,Log!$C$2:$C$1001,"Received",Log!$A$2:$A$1001,"&gt;="&amp;N(U165))))</f>
        <v/>
      </c>
      <c r="G165" s="24" t="n"/>
      <c r="H165" s="24" t="n"/>
      <c r="I165" s="24" t="n"/>
      <c r="J165" s="24" t="n"/>
      <c r="K165" s="24" t="n"/>
      <c r="L165" s="34" t="n"/>
      <c r="M165" s="24" t="n"/>
      <c r="N165" s="24" t="n"/>
      <c r="O165" s="35" t="n"/>
      <c r="P165" s="25" t="n"/>
      <c r="Q165" s="36">
        <f>IF(A165="","",IF(P165&lt;&gt;"",P165,IFERROR(IF(N(INDEX(Suppliers!$E$5:$E$24,MATCH(H165,Suppliers!$B$5:$B$24,0)))&gt;0,INDEX(Suppliers!$E$5:$E$24,MATCH(H165,Suppliers!$B$5:$B$24,0)),5),5)))</f>
        <v/>
      </c>
      <c r="R165" s="35" t="n"/>
      <c r="S165" s="37" t="n"/>
      <c r="T165" s="25" t="n"/>
      <c r="U165" s="37" t="n"/>
      <c r="V165" s="37" t="n"/>
      <c r="W165" s="36">
        <f>IF(A165="","",ROUNDUP(N(O165)*(Q165/7+Settings!$C$5),0))</f>
        <v/>
      </c>
      <c r="X165" s="25" t="n"/>
      <c r="Y165" s="25" t="n"/>
      <c r="Z165" s="32">
        <f>IF(A165="","",IF(Y165&lt;&gt;"",Y165,MAX(1,ROUNDUP(N(O165)*Settings!$C$7,0))))</f>
        <v/>
      </c>
      <c r="AA165" s="38">
        <f>IF(A165="","",MAX(N(S165),_xlfn.MAXIFS(Log!$A$2:$A$1001,Log!$B$2:$B$1001,A165,Log!$C$2:$C$1001,"Count")))</f>
        <v/>
      </c>
      <c r="AB165" s="39">
        <f>IF(A165="","",Z165*N(L165))</f>
        <v/>
      </c>
      <c r="AC165" s="40">
        <f>IF(A165="","",N(O165)*52*N(L165))</f>
        <v/>
      </c>
      <c r="AD165" s="39">
        <f>IF(A165="","",C165*N(L165))</f>
        <v/>
      </c>
      <c r="AE165" s="41">
        <f>IF(A165="",0,IF(AND(OR(B165="Order now",B165="Critical"),F165=0),1,0))</f>
        <v/>
      </c>
      <c r="AF165" s="41">
        <f>IF(AE165=1,IFERROR(MATCH(H165,Suppliers!$B$5:$B$24,0),99)*1000+ROW(),"")</f>
        <v/>
      </c>
      <c r="AG165" s="41">
        <f>IF(AF165="","",COUNTIF('Stock list'!$AF$2:$AF$301,"&lt;"&amp;AF165)+1)</f>
        <v/>
      </c>
      <c r="AH165" s="41">
        <f>IF(A165="",0,IF(OR(AA165=0,AND(B165="OK",OR(C165&lt;=D165+N(O165)*Settings!$C$6,Settings!$C$10-AA165&gt;Settings!$C$8*7))),1,0))</f>
        <v/>
      </c>
      <c r="AI165" s="41">
        <f>IF(AH165=0,"",IF(AA165=0,"Never counted",IF(C165&lt;=D165+N(O165)*Settings!$C$6,"Near the reorder point","Not counted for "&amp;INT((Settings!$C$10-AA165)/7)&amp;" weeks")))</f>
        <v/>
      </c>
      <c r="AJ165" s="41">
        <f>IF(AH165=1,IFERROR(MATCH(M165,Settings!$G$19:$G$38,0),99)*1000+ROW(),"")</f>
        <v/>
      </c>
      <c r="AK165" s="41">
        <f>IF(AJ165="","",COUNTIF('Stock list'!$AJ$2:$AJ$301,"&lt;"&amp;AJ165)+1)</f>
        <v/>
      </c>
      <c r="AL165" s="41">
        <f>IF(OR(A165="",N(AC165)=0),"",AC165+ROW()/1000000)</f>
        <v/>
      </c>
    </row>
    <row r="166">
      <c r="A166" s="24" t="n"/>
      <c r="B166" s="30">
        <f>IF(A166="","",IF(AA166=0,"No count",IF(AND(N(O166)&gt;0,C166/O166*7&lt;Q166),"Critical",IF(F166&gt;0,"On order",IF(AND(D166&gt;0,C166&lt;=D166),"Order now","OK")))))</f>
        <v/>
      </c>
      <c r="C166" s="31">
        <f>IF(A166="","",MAX(0,IF(_xlfn.MAXIFS(Log!$A$2:$A$1001,Log!$B$2:$B$1001,A166,Log!$C$2:$C$1001,"Count")&gt;N(S166),_xlfn.MAXIFS(Log!$D$2:$D$1001,Log!$B$2:$B$1001,A166,Log!$C$2:$C$1001,"Count",Log!$A$2:$A$1001,AA166),N(R166))+SUMIFS(Log!$D$2:$D$1001,Log!$B$2:$B$1001,A166,Log!$C$2:$C$1001,"Received",Log!$A$2:$A$1001,"&gt;"&amp;AA166)-SUMIFS(Log!$D$2:$D$1001,Log!$B$2:$B$1001,A166,Log!$C$2:$C$1001,"Used",Log!$A$2:$A$1001,"&gt;"&amp;AA166)+SUMIFS(Log!$D$2:$D$1001,Log!$B$2:$B$1001,A166,Log!$C$2:$C$1001,"Adjustment",Log!$A$2:$A$1001,"&gt;"&amp;AA166)))</f>
        <v/>
      </c>
      <c r="D166" s="32">
        <f>IF(A166="","",IF(X166&lt;&gt;"",X166,W166))</f>
        <v/>
      </c>
      <c r="E166" s="33">
        <f>IF(OR(A166="",N(O166)=0),"",C166/O166)</f>
        <v/>
      </c>
      <c r="F166" s="31">
        <f>IF(A166="","",MAX(0,N(T166)-SUMIFS(Log!$D$2:$D$1001,Log!$B$2:$B$1001,A166,Log!$C$2:$C$1001,"Received",Log!$A$2:$A$1001,"&gt;="&amp;N(U166))))</f>
        <v/>
      </c>
      <c r="G166" s="24" t="n"/>
      <c r="H166" s="24" t="n"/>
      <c r="I166" s="24" t="n"/>
      <c r="J166" s="24" t="n"/>
      <c r="K166" s="24" t="n"/>
      <c r="L166" s="34" t="n"/>
      <c r="M166" s="24" t="n"/>
      <c r="N166" s="24" t="n"/>
      <c r="O166" s="35" t="n"/>
      <c r="P166" s="25" t="n"/>
      <c r="Q166" s="36">
        <f>IF(A166="","",IF(P166&lt;&gt;"",P166,IFERROR(IF(N(INDEX(Suppliers!$E$5:$E$24,MATCH(H166,Suppliers!$B$5:$B$24,0)))&gt;0,INDEX(Suppliers!$E$5:$E$24,MATCH(H166,Suppliers!$B$5:$B$24,0)),5),5)))</f>
        <v/>
      </c>
      <c r="R166" s="35" t="n"/>
      <c r="S166" s="37" t="n"/>
      <c r="T166" s="25" t="n"/>
      <c r="U166" s="37" t="n"/>
      <c r="V166" s="37" t="n"/>
      <c r="W166" s="36">
        <f>IF(A166="","",ROUNDUP(N(O166)*(Q166/7+Settings!$C$5),0))</f>
        <v/>
      </c>
      <c r="X166" s="25" t="n"/>
      <c r="Y166" s="25" t="n"/>
      <c r="Z166" s="32">
        <f>IF(A166="","",IF(Y166&lt;&gt;"",Y166,MAX(1,ROUNDUP(N(O166)*Settings!$C$7,0))))</f>
        <v/>
      </c>
      <c r="AA166" s="38">
        <f>IF(A166="","",MAX(N(S166),_xlfn.MAXIFS(Log!$A$2:$A$1001,Log!$B$2:$B$1001,A166,Log!$C$2:$C$1001,"Count")))</f>
        <v/>
      </c>
      <c r="AB166" s="39">
        <f>IF(A166="","",Z166*N(L166))</f>
        <v/>
      </c>
      <c r="AC166" s="40">
        <f>IF(A166="","",N(O166)*52*N(L166))</f>
        <v/>
      </c>
      <c r="AD166" s="39">
        <f>IF(A166="","",C166*N(L166))</f>
        <v/>
      </c>
      <c r="AE166" s="41">
        <f>IF(A166="",0,IF(AND(OR(B166="Order now",B166="Critical"),F166=0),1,0))</f>
        <v/>
      </c>
      <c r="AF166" s="41">
        <f>IF(AE166=1,IFERROR(MATCH(H166,Suppliers!$B$5:$B$24,0),99)*1000+ROW(),"")</f>
        <v/>
      </c>
      <c r="AG166" s="41">
        <f>IF(AF166="","",COUNTIF('Stock list'!$AF$2:$AF$301,"&lt;"&amp;AF166)+1)</f>
        <v/>
      </c>
      <c r="AH166" s="41">
        <f>IF(A166="",0,IF(OR(AA166=0,AND(B166="OK",OR(C166&lt;=D166+N(O166)*Settings!$C$6,Settings!$C$10-AA166&gt;Settings!$C$8*7))),1,0))</f>
        <v/>
      </c>
      <c r="AI166" s="41">
        <f>IF(AH166=0,"",IF(AA166=0,"Never counted",IF(C166&lt;=D166+N(O166)*Settings!$C$6,"Near the reorder point","Not counted for "&amp;INT((Settings!$C$10-AA166)/7)&amp;" weeks")))</f>
        <v/>
      </c>
      <c r="AJ166" s="41">
        <f>IF(AH166=1,IFERROR(MATCH(M166,Settings!$G$19:$G$38,0),99)*1000+ROW(),"")</f>
        <v/>
      </c>
      <c r="AK166" s="41">
        <f>IF(AJ166="","",COUNTIF('Stock list'!$AJ$2:$AJ$301,"&lt;"&amp;AJ166)+1)</f>
        <v/>
      </c>
      <c r="AL166" s="41">
        <f>IF(OR(A166="",N(AC166)=0),"",AC166+ROW()/1000000)</f>
        <v/>
      </c>
    </row>
    <row r="167">
      <c r="A167" s="24" t="n"/>
      <c r="B167" s="30">
        <f>IF(A167="","",IF(AA167=0,"No count",IF(AND(N(O167)&gt;0,C167/O167*7&lt;Q167),"Critical",IF(F167&gt;0,"On order",IF(AND(D167&gt;0,C167&lt;=D167),"Order now","OK")))))</f>
        <v/>
      </c>
      <c r="C167" s="31">
        <f>IF(A167="","",MAX(0,IF(_xlfn.MAXIFS(Log!$A$2:$A$1001,Log!$B$2:$B$1001,A167,Log!$C$2:$C$1001,"Count")&gt;N(S167),_xlfn.MAXIFS(Log!$D$2:$D$1001,Log!$B$2:$B$1001,A167,Log!$C$2:$C$1001,"Count",Log!$A$2:$A$1001,AA167),N(R167))+SUMIFS(Log!$D$2:$D$1001,Log!$B$2:$B$1001,A167,Log!$C$2:$C$1001,"Received",Log!$A$2:$A$1001,"&gt;"&amp;AA167)-SUMIFS(Log!$D$2:$D$1001,Log!$B$2:$B$1001,A167,Log!$C$2:$C$1001,"Used",Log!$A$2:$A$1001,"&gt;"&amp;AA167)+SUMIFS(Log!$D$2:$D$1001,Log!$B$2:$B$1001,A167,Log!$C$2:$C$1001,"Adjustment",Log!$A$2:$A$1001,"&gt;"&amp;AA167)))</f>
        <v/>
      </c>
      <c r="D167" s="32">
        <f>IF(A167="","",IF(X167&lt;&gt;"",X167,W167))</f>
        <v/>
      </c>
      <c r="E167" s="33">
        <f>IF(OR(A167="",N(O167)=0),"",C167/O167)</f>
        <v/>
      </c>
      <c r="F167" s="31">
        <f>IF(A167="","",MAX(0,N(T167)-SUMIFS(Log!$D$2:$D$1001,Log!$B$2:$B$1001,A167,Log!$C$2:$C$1001,"Received",Log!$A$2:$A$1001,"&gt;="&amp;N(U167))))</f>
        <v/>
      </c>
      <c r="G167" s="24" t="n"/>
      <c r="H167" s="24" t="n"/>
      <c r="I167" s="24" t="n"/>
      <c r="J167" s="24" t="n"/>
      <c r="K167" s="24" t="n"/>
      <c r="L167" s="34" t="n"/>
      <c r="M167" s="24" t="n"/>
      <c r="N167" s="24" t="n"/>
      <c r="O167" s="35" t="n"/>
      <c r="P167" s="25" t="n"/>
      <c r="Q167" s="36">
        <f>IF(A167="","",IF(P167&lt;&gt;"",P167,IFERROR(IF(N(INDEX(Suppliers!$E$5:$E$24,MATCH(H167,Suppliers!$B$5:$B$24,0)))&gt;0,INDEX(Suppliers!$E$5:$E$24,MATCH(H167,Suppliers!$B$5:$B$24,0)),5),5)))</f>
        <v/>
      </c>
      <c r="R167" s="35" t="n"/>
      <c r="S167" s="37" t="n"/>
      <c r="T167" s="25" t="n"/>
      <c r="U167" s="37" t="n"/>
      <c r="V167" s="37" t="n"/>
      <c r="W167" s="36">
        <f>IF(A167="","",ROUNDUP(N(O167)*(Q167/7+Settings!$C$5),0))</f>
        <v/>
      </c>
      <c r="X167" s="25" t="n"/>
      <c r="Y167" s="25" t="n"/>
      <c r="Z167" s="32">
        <f>IF(A167="","",IF(Y167&lt;&gt;"",Y167,MAX(1,ROUNDUP(N(O167)*Settings!$C$7,0))))</f>
        <v/>
      </c>
      <c r="AA167" s="38">
        <f>IF(A167="","",MAX(N(S167),_xlfn.MAXIFS(Log!$A$2:$A$1001,Log!$B$2:$B$1001,A167,Log!$C$2:$C$1001,"Count")))</f>
        <v/>
      </c>
      <c r="AB167" s="39">
        <f>IF(A167="","",Z167*N(L167))</f>
        <v/>
      </c>
      <c r="AC167" s="40">
        <f>IF(A167="","",N(O167)*52*N(L167))</f>
        <v/>
      </c>
      <c r="AD167" s="39">
        <f>IF(A167="","",C167*N(L167))</f>
        <v/>
      </c>
      <c r="AE167" s="41">
        <f>IF(A167="",0,IF(AND(OR(B167="Order now",B167="Critical"),F167=0),1,0))</f>
        <v/>
      </c>
      <c r="AF167" s="41">
        <f>IF(AE167=1,IFERROR(MATCH(H167,Suppliers!$B$5:$B$24,0),99)*1000+ROW(),"")</f>
        <v/>
      </c>
      <c r="AG167" s="41">
        <f>IF(AF167="","",COUNTIF('Stock list'!$AF$2:$AF$301,"&lt;"&amp;AF167)+1)</f>
        <v/>
      </c>
      <c r="AH167" s="41">
        <f>IF(A167="",0,IF(OR(AA167=0,AND(B167="OK",OR(C167&lt;=D167+N(O167)*Settings!$C$6,Settings!$C$10-AA167&gt;Settings!$C$8*7))),1,0))</f>
        <v/>
      </c>
      <c r="AI167" s="41">
        <f>IF(AH167=0,"",IF(AA167=0,"Never counted",IF(C167&lt;=D167+N(O167)*Settings!$C$6,"Near the reorder point","Not counted for "&amp;INT((Settings!$C$10-AA167)/7)&amp;" weeks")))</f>
        <v/>
      </c>
      <c r="AJ167" s="41">
        <f>IF(AH167=1,IFERROR(MATCH(M167,Settings!$G$19:$G$38,0),99)*1000+ROW(),"")</f>
        <v/>
      </c>
      <c r="AK167" s="41">
        <f>IF(AJ167="","",COUNTIF('Stock list'!$AJ$2:$AJ$301,"&lt;"&amp;AJ167)+1)</f>
        <v/>
      </c>
      <c r="AL167" s="41">
        <f>IF(OR(A167="",N(AC167)=0),"",AC167+ROW()/1000000)</f>
        <v/>
      </c>
    </row>
    <row r="168">
      <c r="A168" s="24" t="n"/>
      <c r="B168" s="30">
        <f>IF(A168="","",IF(AA168=0,"No count",IF(AND(N(O168)&gt;0,C168/O168*7&lt;Q168),"Critical",IF(F168&gt;0,"On order",IF(AND(D168&gt;0,C168&lt;=D168),"Order now","OK")))))</f>
        <v/>
      </c>
      <c r="C168" s="31">
        <f>IF(A168="","",MAX(0,IF(_xlfn.MAXIFS(Log!$A$2:$A$1001,Log!$B$2:$B$1001,A168,Log!$C$2:$C$1001,"Count")&gt;N(S168),_xlfn.MAXIFS(Log!$D$2:$D$1001,Log!$B$2:$B$1001,A168,Log!$C$2:$C$1001,"Count",Log!$A$2:$A$1001,AA168),N(R168))+SUMIFS(Log!$D$2:$D$1001,Log!$B$2:$B$1001,A168,Log!$C$2:$C$1001,"Received",Log!$A$2:$A$1001,"&gt;"&amp;AA168)-SUMIFS(Log!$D$2:$D$1001,Log!$B$2:$B$1001,A168,Log!$C$2:$C$1001,"Used",Log!$A$2:$A$1001,"&gt;"&amp;AA168)+SUMIFS(Log!$D$2:$D$1001,Log!$B$2:$B$1001,A168,Log!$C$2:$C$1001,"Adjustment",Log!$A$2:$A$1001,"&gt;"&amp;AA168)))</f>
        <v/>
      </c>
      <c r="D168" s="32">
        <f>IF(A168="","",IF(X168&lt;&gt;"",X168,W168))</f>
        <v/>
      </c>
      <c r="E168" s="33">
        <f>IF(OR(A168="",N(O168)=0),"",C168/O168)</f>
        <v/>
      </c>
      <c r="F168" s="31">
        <f>IF(A168="","",MAX(0,N(T168)-SUMIFS(Log!$D$2:$D$1001,Log!$B$2:$B$1001,A168,Log!$C$2:$C$1001,"Received",Log!$A$2:$A$1001,"&gt;="&amp;N(U168))))</f>
        <v/>
      </c>
      <c r="G168" s="24" t="n"/>
      <c r="H168" s="24" t="n"/>
      <c r="I168" s="24" t="n"/>
      <c r="J168" s="24" t="n"/>
      <c r="K168" s="24" t="n"/>
      <c r="L168" s="34" t="n"/>
      <c r="M168" s="24" t="n"/>
      <c r="N168" s="24" t="n"/>
      <c r="O168" s="35" t="n"/>
      <c r="P168" s="25" t="n"/>
      <c r="Q168" s="36">
        <f>IF(A168="","",IF(P168&lt;&gt;"",P168,IFERROR(IF(N(INDEX(Suppliers!$E$5:$E$24,MATCH(H168,Suppliers!$B$5:$B$24,0)))&gt;0,INDEX(Suppliers!$E$5:$E$24,MATCH(H168,Suppliers!$B$5:$B$24,0)),5),5)))</f>
        <v/>
      </c>
      <c r="R168" s="35" t="n"/>
      <c r="S168" s="37" t="n"/>
      <c r="T168" s="25" t="n"/>
      <c r="U168" s="37" t="n"/>
      <c r="V168" s="37" t="n"/>
      <c r="W168" s="36">
        <f>IF(A168="","",ROUNDUP(N(O168)*(Q168/7+Settings!$C$5),0))</f>
        <v/>
      </c>
      <c r="X168" s="25" t="n"/>
      <c r="Y168" s="25" t="n"/>
      <c r="Z168" s="32">
        <f>IF(A168="","",IF(Y168&lt;&gt;"",Y168,MAX(1,ROUNDUP(N(O168)*Settings!$C$7,0))))</f>
        <v/>
      </c>
      <c r="AA168" s="38">
        <f>IF(A168="","",MAX(N(S168),_xlfn.MAXIFS(Log!$A$2:$A$1001,Log!$B$2:$B$1001,A168,Log!$C$2:$C$1001,"Count")))</f>
        <v/>
      </c>
      <c r="AB168" s="39">
        <f>IF(A168="","",Z168*N(L168))</f>
        <v/>
      </c>
      <c r="AC168" s="40">
        <f>IF(A168="","",N(O168)*52*N(L168))</f>
        <v/>
      </c>
      <c r="AD168" s="39">
        <f>IF(A168="","",C168*N(L168))</f>
        <v/>
      </c>
      <c r="AE168" s="41">
        <f>IF(A168="",0,IF(AND(OR(B168="Order now",B168="Critical"),F168=0),1,0))</f>
        <v/>
      </c>
      <c r="AF168" s="41">
        <f>IF(AE168=1,IFERROR(MATCH(H168,Suppliers!$B$5:$B$24,0),99)*1000+ROW(),"")</f>
        <v/>
      </c>
      <c r="AG168" s="41">
        <f>IF(AF168="","",COUNTIF('Stock list'!$AF$2:$AF$301,"&lt;"&amp;AF168)+1)</f>
        <v/>
      </c>
      <c r="AH168" s="41">
        <f>IF(A168="",0,IF(OR(AA168=0,AND(B168="OK",OR(C168&lt;=D168+N(O168)*Settings!$C$6,Settings!$C$10-AA168&gt;Settings!$C$8*7))),1,0))</f>
        <v/>
      </c>
      <c r="AI168" s="41">
        <f>IF(AH168=0,"",IF(AA168=0,"Never counted",IF(C168&lt;=D168+N(O168)*Settings!$C$6,"Near the reorder point","Not counted for "&amp;INT((Settings!$C$10-AA168)/7)&amp;" weeks")))</f>
        <v/>
      </c>
      <c r="AJ168" s="41">
        <f>IF(AH168=1,IFERROR(MATCH(M168,Settings!$G$19:$G$38,0),99)*1000+ROW(),"")</f>
        <v/>
      </c>
      <c r="AK168" s="41">
        <f>IF(AJ168="","",COUNTIF('Stock list'!$AJ$2:$AJ$301,"&lt;"&amp;AJ168)+1)</f>
        <v/>
      </c>
      <c r="AL168" s="41">
        <f>IF(OR(A168="",N(AC168)=0),"",AC168+ROW()/1000000)</f>
        <v/>
      </c>
    </row>
    <row r="169">
      <c r="A169" s="24" t="n"/>
      <c r="B169" s="30">
        <f>IF(A169="","",IF(AA169=0,"No count",IF(AND(N(O169)&gt;0,C169/O169*7&lt;Q169),"Critical",IF(F169&gt;0,"On order",IF(AND(D169&gt;0,C169&lt;=D169),"Order now","OK")))))</f>
        <v/>
      </c>
      <c r="C169" s="31">
        <f>IF(A169="","",MAX(0,IF(_xlfn.MAXIFS(Log!$A$2:$A$1001,Log!$B$2:$B$1001,A169,Log!$C$2:$C$1001,"Count")&gt;N(S169),_xlfn.MAXIFS(Log!$D$2:$D$1001,Log!$B$2:$B$1001,A169,Log!$C$2:$C$1001,"Count",Log!$A$2:$A$1001,AA169),N(R169))+SUMIFS(Log!$D$2:$D$1001,Log!$B$2:$B$1001,A169,Log!$C$2:$C$1001,"Received",Log!$A$2:$A$1001,"&gt;"&amp;AA169)-SUMIFS(Log!$D$2:$D$1001,Log!$B$2:$B$1001,A169,Log!$C$2:$C$1001,"Used",Log!$A$2:$A$1001,"&gt;"&amp;AA169)+SUMIFS(Log!$D$2:$D$1001,Log!$B$2:$B$1001,A169,Log!$C$2:$C$1001,"Adjustment",Log!$A$2:$A$1001,"&gt;"&amp;AA169)))</f>
        <v/>
      </c>
      <c r="D169" s="32">
        <f>IF(A169="","",IF(X169&lt;&gt;"",X169,W169))</f>
        <v/>
      </c>
      <c r="E169" s="33">
        <f>IF(OR(A169="",N(O169)=0),"",C169/O169)</f>
        <v/>
      </c>
      <c r="F169" s="31">
        <f>IF(A169="","",MAX(0,N(T169)-SUMIFS(Log!$D$2:$D$1001,Log!$B$2:$B$1001,A169,Log!$C$2:$C$1001,"Received",Log!$A$2:$A$1001,"&gt;="&amp;N(U169))))</f>
        <v/>
      </c>
      <c r="G169" s="24" t="n"/>
      <c r="H169" s="24" t="n"/>
      <c r="I169" s="24" t="n"/>
      <c r="J169" s="24" t="n"/>
      <c r="K169" s="24" t="n"/>
      <c r="L169" s="34" t="n"/>
      <c r="M169" s="24" t="n"/>
      <c r="N169" s="24" t="n"/>
      <c r="O169" s="35" t="n"/>
      <c r="P169" s="25" t="n"/>
      <c r="Q169" s="36">
        <f>IF(A169="","",IF(P169&lt;&gt;"",P169,IFERROR(IF(N(INDEX(Suppliers!$E$5:$E$24,MATCH(H169,Suppliers!$B$5:$B$24,0)))&gt;0,INDEX(Suppliers!$E$5:$E$24,MATCH(H169,Suppliers!$B$5:$B$24,0)),5),5)))</f>
        <v/>
      </c>
      <c r="R169" s="35" t="n"/>
      <c r="S169" s="37" t="n"/>
      <c r="T169" s="25" t="n"/>
      <c r="U169" s="37" t="n"/>
      <c r="V169" s="37" t="n"/>
      <c r="W169" s="36">
        <f>IF(A169="","",ROUNDUP(N(O169)*(Q169/7+Settings!$C$5),0))</f>
        <v/>
      </c>
      <c r="X169" s="25" t="n"/>
      <c r="Y169" s="25" t="n"/>
      <c r="Z169" s="32">
        <f>IF(A169="","",IF(Y169&lt;&gt;"",Y169,MAX(1,ROUNDUP(N(O169)*Settings!$C$7,0))))</f>
        <v/>
      </c>
      <c r="AA169" s="38">
        <f>IF(A169="","",MAX(N(S169),_xlfn.MAXIFS(Log!$A$2:$A$1001,Log!$B$2:$B$1001,A169,Log!$C$2:$C$1001,"Count")))</f>
        <v/>
      </c>
      <c r="AB169" s="39">
        <f>IF(A169="","",Z169*N(L169))</f>
        <v/>
      </c>
      <c r="AC169" s="40">
        <f>IF(A169="","",N(O169)*52*N(L169))</f>
        <v/>
      </c>
      <c r="AD169" s="39">
        <f>IF(A169="","",C169*N(L169))</f>
        <v/>
      </c>
      <c r="AE169" s="41">
        <f>IF(A169="",0,IF(AND(OR(B169="Order now",B169="Critical"),F169=0),1,0))</f>
        <v/>
      </c>
      <c r="AF169" s="41">
        <f>IF(AE169=1,IFERROR(MATCH(H169,Suppliers!$B$5:$B$24,0),99)*1000+ROW(),"")</f>
        <v/>
      </c>
      <c r="AG169" s="41">
        <f>IF(AF169="","",COUNTIF('Stock list'!$AF$2:$AF$301,"&lt;"&amp;AF169)+1)</f>
        <v/>
      </c>
      <c r="AH169" s="41">
        <f>IF(A169="",0,IF(OR(AA169=0,AND(B169="OK",OR(C169&lt;=D169+N(O169)*Settings!$C$6,Settings!$C$10-AA169&gt;Settings!$C$8*7))),1,0))</f>
        <v/>
      </c>
      <c r="AI169" s="41">
        <f>IF(AH169=0,"",IF(AA169=0,"Never counted",IF(C169&lt;=D169+N(O169)*Settings!$C$6,"Near the reorder point","Not counted for "&amp;INT((Settings!$C$10-AA169)/7)&amp;" weeks")))</f>
        <v/>
      </c>
      <c r="AJ169" s="41">
        <f>IF(AH169=1,IFERROR(MATCH(M169,Settings!$G$19:$G$38,0),99)*1000+ROW(),"")</f>
        <v/>
      </c>
      <c r="AK169" s="41">
        <f>IF(AJ169="","",COUNTIF('Stock list'!$AJ$2:$AJ$301,"&lt;"&amp;AJ169)+1)</f>
        <v/>
      </c>
      <c r="AL169" s="41">
        <f>IF(OR(A169="",N(AC169)=0),"",AC169+ROW()/1000000)</f>
        <v/>
      </c>
    </row>
    <row r="170">
      <c r="A170" s="24" t="n"/>
      <c r="B170" s="30">
        <f>IF(A170="","",IF(AA170=0,"No count",IF(AND(N(O170)&gt;0,C170/O170*7&lt;Q170),"Critical",IF(F170&gt;0,"On order",IF(AND(D170&gt;0,C170&lt;=D170),"Order now","OK")))))</f>
        <v/>
      </c>
      <c r="C170" s="31">
        <f>IF(A170="","",MAX(0,IF(_xlfn.MAXIFS(Log!$A$2:$A$1001,Log!$B$2:$B$1001,A170,Log!$C$2:$C$1001,"Count")&gt;N(S170),_xlfn.MAXIFS(Log!$D$2:$D$1001,Log!$B$2:$B$1001,A170,Log!$C$2:$C$1001,"Count",Log!$A$2:$A$1001,AA170),N(R170))+SUMIFS(Log!$D$2:$D$1001,Log!$B$2:$B$1001,A170,Log!$C$2:$C$1001,"Received",Log!$A$2:$A$1001,"&gt;"&amp;AA170)-SUMIFS(Log!$D$2:$D$1001,Log!$B$2:$B$1001,A170,Log!$C$2:$C$1001,"Used",Log!$A$2:$A$1001,"&gt;"&amp;AA170)+SUMIFS(Log!$D$2:$D$1001,Log!$B$2:$B$1001,A170,Log!$C$2:$C$1001,"Adjustment",Log!$A$2:$A$1001,"&gt;"&amp;AA170)))</f>
        <v/>
      </c>
      <c r="D170" s="32">
        <f>IF(A170="","",IF(X170&lt;&gt;"",X170,W170))</f>
        <v/>
      </c>
      <c r="E170" s="33">
        <f>IF(OR(A170="",N(O170)=0),"",C170/O170)</f>
        <v/>
      </c>
      <c r="F170" s="31">
        <f>IF(A170="","",MAX(0,N(T170)-SUMIFS(Log!$D$2:$D$1001,Log!$B$2:$B$1001,A170,Log!$C$2:$C$1001,"Received",Log!$A$2:$A$1001,"&gt;="&amp;N(U170))))</f>
        <v/>
      </c>
      <c r="G170" s="24" t="n"/>
      <c r="H170" s="24" t="n"/>
      <c r="I170" s="24" t="n"/>
      <c r="J170" s="24" t="n"/>
      <c r="K170" s="24" t="n"/>
      <c r="L170" s="34" t="n"/>
      <c r="M170" s="24" t="n"/>
      <c r="N170" s="24" t="n"/>
      <c r="O170" s="35" t="n"/>
      <c r="P170" s="25" t="n"/>
      <c r="Q170" s="36">
        <f>IF(A170="","",IF(P170&lt;&gt;"",P170,IFERROR(IF(N(INDEX(Suppliers!$E$5:$E$24,MATCH(H170,Suppliers!$B$5:$B$24,0)))&gt;0,INDEX(Suppliers!$E$5:$E$24,MATCH(H170,Suppliers!$B$5:$B$24,0)),5),5)))</f>
        <v/>
      </c>
      <c r="R170" s="35" t="n"/>
      <c r="S170" s="37" t="n"/>
      <c r="T170" s="25" t="n"/>
      <c r="U170" s="37" t="n"/>
      <c r="V170" s="37" t="n"/>
      <c r="W170" s="36">
        <f>IF(A170="","",ROUNDUP(N(O170)*(Q170/7+Settings!$C$5),0))</f>
        <v/>
      </c>
      <c r="X170" s="25" t="n"/>
      <c r="Y170" s="25" t="n"/>
      <c r="Z170" s="32">
        <f>IF(A170="","",IF(Y170&lt;&gt;"",Y170,MAX(1,ROUNDUP(N(O170)*Settings!$C$7,0))))</f>
        <v/>
      </c>
      <c r="AA170" s="38">
        <f>IF(A170="","",MAX(N(S170),_xlfn.MAXIFS(Log!$A$2:$A$1001,Log!$B$2:$B$1001,A170,Log!$C$2:$C$1001,"Count")))</f>
        <v/>
      </c>
      <c r="AB170" s="39">
        <f>IF(A170="","",Z170*N(L170))</f>
        <v/>
      </c>
      <c r="AC170" s="40">
        <f>IF(A170="","",N(O170)*52*N(L170))</f>
        <v/>
      </c>
      <c r="AD170" s="39">
        <f>IF(A170="","",C170*N(L170))</f>
        <v/>
      </c>
      <c r="AE170" s="41">
        <f>IF(A170="",0,IF(AND(OR(B170="Order now",B170="Critical"),F170=0),1,0))</f>
        <v/>
      </c>
      <c r="AF170" s="41">
        <f>IF(AE170=1,IFERROR(MATCH(H170,Suppliers!$B$5:$B$24,0),99)*1000+ROW(),"")</f>
        <v/>
      </c>
      <c r="AG170" s="41">
        <f>IF(AF170="","",COUNTIF('Stock list'!$AF$2:$AF$301,"&lt;"&amp;AF170)+1)</f>
        <v/>
      </c>
      <c r="AH170" s="41">
        <f>IF(A170="",0,IF(OR(AA170=0,AND(B170="OK",OR(C170&lt;=D170+N(O170)*Settings!$C$6,Settings!$C$10-AA170&gt;Settings!$C$8*7))),1,0))</f>
        <v/>
      </c>
      <c r="AI170" s="41">
        <f>IF(AH170=0,"",IF(AA170=0,"Never counted",IF(C170&lt;=D170+N(O170)*Settings!$C$6,"Near the reorder point","Not counted for "&amp;INT((Settings!$C$10-AA170)/7)&amp;" weeks")))</f>
        <v/>
      </c>
      <c r="AJ170" s="41">
        <f>IF(AH170=1,IFERROR(MATCH(M170,Settings!$G$19:$G$38,0),99)*1000+ROW(),"")</f>
        <v/>
      </c>
      <c r="AK170" s="41">
        <f>IF(AJ170="","",COUNTIF('Stock list'!$AJ$2:$AJ$301,"&lt;"&amp;AJ170)+1)</f>
        <v/>
      </c>
      <c r="AL170" s="41">
        <f>IF(OR(A170="",N(AC170)=0),"",AC170+ROW()/1000000)</f>
        <v/>
      </c>
    </row>
    <row r="171">
      <c r="A171" s="24" t="n"/>
      <c r="B171" s="30">
        <f>IF(A171="","",IF(AA171=0,"No count",IF(AND(N(O171)&gt;0,C171/O171*7&lt;Q171),"Critical",IF(F171&gt;0,"On order",IF(AND(D171&gt;0,C171&lt;=D171),"Order now","OK")))))</f>
        <v/>
      </c>
      <c r="C171" s="31">
        <f>IF(A171="","",MAX(0,IF(_xlfn.MAXIFS(Log!$A$2:$A$1001,Log!$B$2:$B$1001,A171,Log!$C$2:$C$1001,"Count")&gt;N(S171),_xlfn.MAXIFS(Log!$D$2:$D$1001,Log!$B$2:$B$1001,A171,Log!$C$2:$C$1001,"Count",Log!$A$2:$A$1001,AA171),N(R171))+SUMIFS(Log!$D$2:$D$1001,Log!$B$2:$B$1001,A171,Log!$C$2:$C$1001,"Received",Log!$A$2:$A$1001,"&gt;"&amp;AA171)-SUMIFS(Log!$D$2:$D$1001,Log!$B$2:$B$1001,A171,Log!$C$2:$C$1001,"Used",Log!$A$2:$A$1001,"&gt;"&amp;AA171)+SUMIFS(Log!$D$2:$D$1001,Log!$B$2:$B$1001,A171,Log!$C$2:$C$1001,"Adjustment",Log!$A$2:$A$1001,"&gt;"&amp;AA171)))</f>
        <v/>
      </c>
      <c r="D171" s="32">
        <f>IF(A171="","",IF(X171&lt;&gt;"",X171,W171))</f>
        <v/>
      </c>
      <c r="E171" s="33">
        <f>IF(OR(A171="",N(O171)=0),"",C171/O171)</f>
        <v/>
      </c>
      <c r="F171" s="31">
        <f>IF(A171="","",MAX(0,N(T171)-SUMIFS(Log!$D$2:$D$1001,Log!$B$2:$B$1001,A171,Log!$C$2:$C$1001,"Received",Log!$A$2:$A$1001,"&gt;="&amp;N(U171))))</f>
        <v/>
      </c>
      <c r="G171" s="24" t="n"/>
      <c r="H171" s="24" t="n"/>
      <c r="I171" s="24" t="n"/>
      <c r="J171" s="24" t="n"/>
      <c r="K171" s="24" t="n"/>
      <c r="L171" s="34" t="n"/>
      <c r="M171" s="24" t="n"/>
      <c r="N171" s="24" t="n"/>
      <c r="O171" s="35" t="n"/>
      <c r="P171" s="25" t="n"/>
      <c r="Q171" s="36">
        <f>IF(A171="","",IF(P171&lt;&gt;"",P171,IFERROR(IF(N(INDEX(Suppliers!$E$5:$E$24,MATCH(H171,Suppliers!$B$5:$B$24,0)))&gt;0,INDEX(Suppliers!$E$5:$E$24,MATCH(H171,Suppliers!$B$5:$B$24,0)),5),5)))</f>
        <v/>
      </c>
      <c r="R171" s="35" t="n"/>
      <c r="S171" s="37" t="n"/>
      <c r="T171" s="25" t="n"/>
      <c r="U171" s="37" t="n"/>
      <c r="V171" s="37" t="n"/>
      <c r="W171" s="36">
        <f>IF(A171="","",ROUNDUP(N(O171)*(Q171/7+Settings!$C$5),0))</f>
        <v/>
      </c>
      <c r="X171" s="25" t="n"/>
      <c r="Y171" s="25" t="n"/>
      <c r="Z171" s="32">
        <f>IF(A171="","",IF(Y171&lt;&gt;"",Y171,MAX(1,ROUNDUP(N(O171)*Settings!$C$7,0))))</f>
        <v/>
      </c>
      <c r="AA171" s="38">
        <f>IF(A171="","",MAX(N(S171),_xlfn.MAXIFS(Log!$A$2:$A$1001,Log!$B$2:$B$1001,A171,Log!$C$2:$C$1001,"Count")))</f>
        <v/>
      </c>
      <c r="AB171" s="39">
        <f>IF(A171="","",Z171*N(L171))</f>
        <v/>
      </c>
      <c r="AC171" s="40">
        <f>IF(A171="","",N(O171)*52*N(L171))</f>
        <v/>
      </c>
      <c r="AD171" s="39">
        <f>IF(A171="","",C171*N(L171))</f>
        <v/>
      </c>
      <c r="AE171" s="41">
        <f>IF(A171="",0,IF(AND(OR(B171="Order now",B171="Critical"),F171=0),1,0))</f>
        <v/>
      </c>
      <c r="AF171" s="41">
        <f>IF(AE171=1,IFERROR(MATCH(H171,Suppliers!$B$5:$B$24,0),99)*1000+ROW(),"")</f>
        <v/>
      </c>
      <c r="AG171" s="41">
        <f>IF(AF171="","",COUNTIF('Stock list'!$AF$2:$AF$301,"&lt;"&amp;AF171)+1)</f>
        <v/>
      </c>
      <c r="AH171" s="41">
        <f>IF(A171="",0,IF(OR(AA171=0,AND(B171="OK",OR(C171&lt;=D171+N(O171)*Settings!$C$6,Settings!$C$10-AA171&gt;Settings!$C$8*7))),1,0))</f>
        <v/>
      </c>
      <c r="AI171" s="41">
        <f>IF(AH171=0,"",IF(AA171=0,"Never counted",IF(C171&lt;=D171+N(O171)*Settings!$C$6,"Near the reorder point","Not counted for "&amp;INT((Settings!$C$10-AA171)/7)&amp;" weeks")))</f>
        <v/>
      </c>
      <c r="AJ171" s="41">
        <f>IF(AH171=1,IFERROR(MATCH(M171,Settings!$G$19:$G$38,0),99)*1000+ROW(),"")</f>
        <v/>
      </c>
      <c r="AK171" s="41">
        <f>IF(AJ171="","",COUNTIF('Stock list'!$AJ$2:$AJ$301,"&lt;"&amp;AJ171)+1)</f>
        <v/>
      </c>
      <c r="AL171" s="41">
        <f>IF(OR(A171="",N(AC171)=0),"",AC171+ROW()/1000000)</f>
        <v/>
      </c>
    </row>
    <row r="172">
      <c r="A172" s="24" t="n"/>
      <c r="B172" s="30">
        <f>IF(A172="","",IF(AA172=0,"No count",IF(AND(N(O172)&gt;0,C172/O172*7&lt;Q172),"Critical",IF(F172&gt;0,"On order",IF(AND(D172&gt;0,C172&lt;=D172),"Order now","OK")))))</f>
        <v/>
      </c>
      <c r="C172" s="31">
        <f>IF(A172="","",MAX(0,IF(_xlfn.MAXIFS(Log!$A$2:$A$1001,Log!$B$2:$B$1001,A172,Log!$C$2:$C$1001,"Count")&gt;N(S172),_xlfn.MAXIFS(Log!$D$2:$D$1001,Log!$B$2:$B$1001,A172,Log!$C$2:$C$1001,"Count",Log!$A$2:$A$1001,AA172),N(R172))+SUMIFS(Log!$D$2:$D$1001,Log!$B$2:$B$1001,A172,Log!$C$2:$C$1001,"Received",Log!$A$2:$A$1001,"&gt;"&amp;AA172)-SUMIFS(Log!$D$2:$D$1001,Log!$B$2:$B$1001,A172,Log!$C$2:$C$1001,"Used",Log!$A$2:$A$1001,"&gt;"&amp;AA172)+SUMIFS(Log!$D$2:$D$1001,Log!$B$2:$B$1001,A172,Log!$C$2:$C$1001,"Adjustment",Log!$A$2:$A$1001,"&gt;"&amp;AA172)))</f>
        <v/>
      </c>
      <c r="D172" s="32">
        <f>IF(A172="","",IF(X172&lt;&gt;"",X172,W172))</f>
        <v/>
      </c>
      <c r="E172" s="33">
        <f>IF(OR(A172="",N(O172)=0),"",C172/O172)</f>
        <v/>
      </c>
      <c r="F172" s="31">
        <f>IF(A172="","",MAX(0,N(T172)-SUMIFS(Log!$D$2:$D$1001,Log!$B$2:$B$1001,A172,Log!$C$2:$C$1001,"Received",Log!$A$2:$A$1001,"&gt;="&amp;N(U172))))</f>
        <v/>
      </c>
      <c r="G172" s="24" t="n"/>
      <c r="H172" s="24" t="n"/>
      <c r="I172" s="24" t="n"/>
      <c r="J172" s="24" t="n"/>
      <c r="K172" s="24" t="n"/>
      <c r="L172" s="34" t="n"/>
      <c r="M172" s="24" t="n"/>
      <c r="N172" s="24" t="n"/>
      <c r="O172" s="35" t="n"/>
      <c r="P172" s="25" t="n"/>
      <c r="Q172" s="36">
        <f>IF(A172="","",IF(P172&lt;&gt;"",P172,IFERROR(IF(N(INDEX(Suppliers!$E$5:$E$24,MATCH(H172,Suppliers!$B$5:$B$24,0)))&gt;0,INDEX(Suppliers!$E$5:$E$24,MATCH(H172,Suppliers!$B$5:$B$24,0)),5),5)))</f>
        <v/>
      </c>
      <c r="R172" s="35" t="n"/>
      <c r="S172" s="37" t="n"/>
      <c r="T172" s="25" t="n"/>
      <c r="U172" s="37" t="n"/>
      <c r="V172" s="37" t="n"/>
      <c r="W172" s="36">
        <f>IF(A172="","",ROUNDUP(N(O172)*(Q172/7+Settings!$C$5),0))</f>
        <v/>
      </c>
      <c r="X172" s="25" t="n"/>
      <c r="Y172" s="25" t="n"/>
      <c r="Z172" s="32">
        <f>IF(A172="","",IF(Y172&lt;&gt;"",Y172,MAX(1,ROUNDUP(N(O172)*Settings!$C$7,0))))</f>
        <v/>
      </c>
      <c r="AA172" s="38">
        <f>IF(A172="","",MAX(N(S172),_xlfn.MAXIFS(Log!$A$2:$A$1001,Log!$B$2:$B$1001,A172,Log!$C$2:$C$1001,"Count")))</f>
        <v/>
      </c>
      <c r="AB172" s="39">
        <f>IF(A172="","",Z172*N(L172))</f>
        <v/>
      </c>
      <c r="AC172" s="40">
        <f>IF(A172="","",N(O172)*52*N(L172))</f>
        <v/>
      </c>
      <c r="AD172" s="39">
        <f>IF(A172="","",C172*N(L172))</f>
        <v/>
      </c>
      <c r="AE172" s="41">
        <f>IF(A172="",0,IF(AND(OR(B172="Order now",B172="Critical"),F172=0),1,0))</f>
        <v/>
      </c>
      <c r="AF172" s="41">
        <f>IF(AE172=1,IFERROR(MATCH(H172,Suppliers!$B$5:$B$24,0),99)*1000+ROW(),"")</f>
        <v/>
      </c>
      <c r="AG172" s="41">
        <f>IF(AF172="","",COUNTIF('Stock list'!$AF$2:$AF$301,"&lt;"&amp;AF172)+1)</f>
        <v/>
      </c>
      <c r="AH172" s="41">
        <f>IF(A172="",0,IF(OR(AA172=0,AND(B172="OK",OR(C172&lt;=D172+N(O172)*Settings!$C$6,Settings!$C$10-AA172&gt;Settings!$C$8*7))),1,0))</f>
        <v/>
      </c>
      <c r="AI172" s="41">
        <f>IF(AH172=0,"",IF(AA172=0,"Never counted",IF(C172&lt;=D172+N(O172)*Settings!$C$6,"Near the reorder point","Not counted for "&amp;INT((Settings!$C$10-AA172)/7)&amp;" weeks")))</f>
        <v/>
      </c>
      <c r="AJ172" s="41">
        <f>IF(AH172=1,IFERROR(MATCH(M172,Settings!$G$19:$G$38,0),99)*1000+ROW(),"")</f>
        <v/>
      </c>
      <c r="AK172" s="41">
        <f>IF(AJ172="","",COUNTIF('Stock list'!$AJ$2:$AJ$301,"&lt;"&amp;AJ172)+1)</f>
        <v/>
      </c>
      <c r="AL172" s="41">
        <f>IF(OR(A172="",N(AC172)=0),"",AC172+ROW()/1000000)</f>
        <v/>
      </c>
    </row>
    <row r="173">
      <c r="A173" s="24" t="n"/>
      <c r="B173" s="30">
        <f>IF(A173="","",IF(AA173=0,"No count",IF(AND(N(O173)&gt;0,C173/O173*7&lt;Q173),"Critical",IF(F173&gt;0,"On order",IF(AND(D173&gt;0,C173&lt;=D173),"Order now","OK")))))</f>
        <v/>
      </c>
      <c r="C173" s="31">
        <f>IF(A173="","",MAX(0,IF(_xlfn.MAXIFS(Log!$A$2:$A$1001,Log!$B$2:$B$1001,A173,Log!$C$2:$C$1001,"Count")&gt;N(S173),_xlfn.MAXIFS(Log!$D$2:$D$1001,Log!$B$2:$B$1001,A173,Log!$C$2:$C$1001,"Count",Log!$A$2:$A$1001,AA173),N(R173))+SUMIFS(Log!$D$2:$D$1001,Log!$B$2:$B$1001,A173,Log!$C$2:$C$1001,"Received",Log!$A$2:$A$1001,"&gt;"&amp;AA173)-SUMIFS(Log!$D$2:$D$1001,Log!$B$2:$B$1001,A173,Log!$C$2:$C$1001,"Used",Log!$A$2:$A$1001,"&gt;"&amp;AA173)+SUMIFS(Log!$D$2:$D$1001,Log!$B$2:$B$1001,A173,Log!$C$2:$C$1001,"Adjustment",Log!$A$2:$A$1001,"&gt;"&amp;AA173)))</f>
        <v/>
      </c>
      <c r="D173" s="32">
        <f>IF(A173="","",IF(X173&lt;&gt;"",X173,W173))</f>
        <v/>
      </c>
      <c r="E173" s="33">
        <f>IF(OR(A173="",N(O173)=0),"",C173/O173)</f>
        <v/>
      </c>
      <c r="F173" s="31">
        <f>IF(A173="","",MAX(0,N(T173)-SUMIFS(Log!$D$2:$D$1001,Log!$B$2:$B$1001,A173,Log!$C$2:$C$1001,"Received",Log!$A$2:$A$1001,"&gt;="&amp;N(U173))))</f>
        <v/>
      </c>
      <c r="G173" s="24" t="n"/>
      <c r="H173" s="24" t="n"/>
      <c r="I173" s="24" t="n"/>
      <c r="J173" s="24" t="n"/>
      <c r="K173" s="24" t="n"/>
      <c r="L173" s="34" t="n"/>
      <c r="M173" s="24" t="n"/>
      <c r="N173" s="24" t="n"/>
      <c r="O173" s="35" t="n"/>
      <c r="P173" s="25" t="n"/>
      <c r="Q173" s="36">
        <f>IF(A173="","",IF(P173&lt;&gt;"",P173,IFERROR(IF(N(INDEX(Suppliers!$E$5:$E$24,MATCH(H173,Suppliers!$B$5:$B$24,0)))&gt;0,INDEX(Suppliers!$E$5:$E$24,MATCH(H173,Suppliers!$B$5:$B$24,0)),5),5)))</f>
        <v/>
      </c>
      <c r="R173" s="35" t="n"/>
      <c r="S173" s="37" t="n"/>
      <c r="T173" s="25" t="n"/>
      <c r="U173" s="37" t="n"/>
      <c r="V173" s="37" t="n"/>
      <c r="W173" s="36">
        <f>IF(A173="","",ROUNDUP(N(O173)*(Q173/7+Settings!$C$5),0))</f>
        <v/>
      </c>
      <c r="X173" s="25" t="n"/>
      <c r="Y173" s="25" t="n"/>
      <c r="Z173" s="32">
        <f>IF(A173="","",IF(Y173&lt;&gt;"",Y173,MAX(1,ROUNDUP(N(O173)*Settings!$C$7,0))))</f>
        <v/>
      </c>
      <c r="AA173" s="38">
        <f>IF(A173="","",MAX(N(S173),_xlfn.MAXIFS(Log!$A$2:$A$1001,Log!$B$2:$B$1001,A173,Log!$C$2:$C$1001,"Count")))</f>
        <v/>
      </c>
      <c r="AB173" s="39">
        <f>IF(A173="","",Z173*N(L173))</f>
        <v/>
      </c>
      <c r="AC173" s="40">
        <f>IF(A173="","",N(O173)*52*N(L173))</f>
        <v/>
      </c>
      <c r="AD173" s="39">
        <f>IF(A173="","",C173*N(L173))</f>
        <v/>
      </c>
      <c r="AE173" s="41">
        <f>IF(A173="",0,IF(AND(OR(B173="Order now",B173="Critical"),F173=0),1,0))</f>
        <v/>
      </c>
      <c r="AF173" s="41">
        <f>IF(AE173=1,IFERROR(MATCH(H173,Suppliers!$B$5:$B$24,0),99)*1000+ROW(),"")</f>
        <v/>
      </c>
      <c r="AG173" s="41">
        <f>IF(AF173="","",COUNTIF('Stock list'!$AF$2:$AF$301,"&lt;"&amp;AF173)+1)</f>
        <v/>
      </c>
      <c r="AH173" s="41">
        <f>IF(A173="",0,IF(OR(AA173=0,AND(B173="OK",OR(C173&lt;=D173+N(O173)*Settings!$C$6,Settings!$C$10-AA173&gt;Settings!$C$8*7))),1,0))</f>
        <v/>
      </c>
      <c r="AI173" s="41">
        <f>IF(AH173=0,"",IF(AA173=0,"Never counted",IF(C173&lt;=D173+N(O173)*Settings!$C$6,"Near the reorder point","Not counted for "&amp;INT((Settings!$C$10-AA173)/7)&amp;" weeks")))</f>
        <v/>
      </c>
      <c r="AJ173" s="41">
        <f>IF(AH173=1,IFERROR(MATCH(M173,Settings!$G$19:$G$38,0),99)*1000+ROW(),"")</f>
        <v/>
      </c>
      <c r="AK173" s="41">
        <f>IF(AJ173="","",COUNTIF('Stock list'!$AJ$2:$AJ$301,"&lt;"&amp;AJ173)+1)</f>
        <v/>
      </c>
      <c r="AL173" s="41">
        <f>IF(OR(A173="",N(AC173)=0),"",AC173+ROW()/1000000)</f>
        <v/>
      </c>
    </row>
    <row r="174">
      <c r="A174" s="24" t="n"/>
      <c r="B174" s="30">
        <f>IF(A174="","",IF(AA174=0,"No count",IF(AND(N(O174)&gt;0,C174/O174*7&lt;Q174),"Critical",IF(F174&gt;0,"On order",IF(AND(D174&gt;0,C174&lt;=D174),"Order now","OK")))))</f>
        <v/>
      </c>
      <c r="C174" s="31">
        <f>IF(A174="","",MAX(0,IF(_xlfn.MAXIFS(Log!$A$2:$A$1001,Log!$B$2:$B$1001,A174,Log!$C$2:$C$1001,"Count")&gt;N(S174),_xlfn.MAXIFS(Log!$D$2:$D$1001,Log!$B$2:$B$1001,A174,Log!$C$2:$C$1001,"Count",Log!$A$2:$A$1001,AA174),N(R174))+SUMIFS(Log!$D$2:$D$1001,Log!$B$2:$B$1001,A174,Log!$C$2:$C$1001,"Received",Log!$A$2:$A$1001,"&gt;"&amp;AA174)-SUMIFS(Log!$D$2:$D$1001,Log!$B$2:$B$1001,A174,Log!$C$2:$C$1001,"Used",Log!$A$2:$A$1001,"&gt;"&amp;AA174)+SUMIFS(Log!$D$2:$D$1001,Log!$B$2:$B$1001,A174,Log!$C$2:$C$1001,"Adjustment",Log!$A$2:$A$1001,"&gt;"&amp;AA174)))</f>
        <v/>
      </c>
      <c r="D174" s="32">
        <f>IF(A174="","",IF(X174&lt;&gt;"",X174,W174))</f>
        <v/>
      </c>
      <c r="E174" s="33">
        <f>IF(OR(A174="",N(O174)=0),"",C174/O174)</f>
        <v/>
      </c>
      <c r="F174" s="31">
        <f>IF(A174="","",MAX(0,N(T174)-SUMIFS(Log!$D$2:$D$1001,Log!$B$2:$B$1001,A174,Log!$C$2:$C$1001,"Received",Log!$A$2:$A$1001,"&gt;="&amp;N(U174))))</f>
        <v/>
      </c>
      <c r="G174" s="24" t="n"/>
      <c r="H174" s="24" t="n"/>
      <c r="I174" s="24" t="n"/>
      <c r="J174" s="24" t="n"/>
      <c r="K174" s="24" t="n"/>
      <c r="L174" s="34" t="n"/>
      <c r="M174" s="24" t="n"/>
      <c r="N174" s="24" t="n"/>
      <c r="O174" s="35" t="n"/>
      <c r="P174" s="25" t="n"/>
      <c r="Q174" s="36">
        <f>IF(A174="","",IF(P174&lt;&gt;"",P174,IFERROR(IF(N(INDEX(Suppliers!$E$5:$E$24,MATCH(H174,Suppliers!$B$5:$B$24,0)))&gt;0,INDEX(Suppliers!$E$5:$E$24,MATCH(H174,Suppliers!$B$5:$B$24,0)),5),5)))</f>
        <v/>
      </c>
      <c r="R174" s="35" t="n"/>
      <c r="S174" s="37" t="n"/>
      <c r="T174" s="25" t="n"/>
      <c r="U174" s="37" t="n"/>
      <c r="V174" s="37" t="n"/>
      <c r="W174" s="36">
        <f>IF(A174="","",ROUNDUP(N(O174)*(Q174/7+Settings!$C$5),0))</f>
        <v/>
      </c>
      <c r="X174" s="25" t="n"/>
      <c r="Y174" s="25" t="n"/>
      <c r="Z174" s="32">
        <f>IF(A174="","",IF(Y174&lt;&gt;"",Y174,MAX(1,ROUNDUP(N(O174)*Settings!$C$7,0))))</f>
        <v/>
      </c>
      <c r="AA174" s="38">
        <f>IF(A174="","",MAX(N(S174),_xlfn.MAXIFS(Log!$A$2:$A$1001,Log!$B$2:$B$1001,A174,Log!$C$2:$C$1001,"Count")))</f>
        <v/>
      </c>
      <c r="AB174" s="39">
        <f>IF(A174="","",Z174*N(L174))</f>
        <v/>
      </c>
      <c r="AC174" s="40">
        <f>IF(A174="","",N(O174)*52*N(L174))</f>
        <v/>
      </c>
      <c r="AD174" s="39">
        <f>IF(A174="","",C174*N(L174))</f>
        <v/>
      </c>
      <c r="AE174" s="41">
        <f>IF(A174="",0,IF(AND(OR(B174="Order now",B174="Critical"),F174=0),1,0))</f>
        <v/>
      </c>
      <c r="AF174" s="41">
        <f>IF(AE174=1,IFERROR(MATCH(H174,Suppliers!$B$5:$B$24,0),99)*1000+ROW(),"")</f>
        <v/>
      </c>
      <c r="AG174" s="41">
        <f>IF(AF174="","",COUNTIF('Stock list'!$AF$2:$AF$301,"&lt;"&amp;AF174)+1)</f>
        <v/>
      </c>
      <c r="AH174" s="41">
        <f>IF(A174="",0,IF(OR(AA174=0,AND(B174="OK",OR(C174&lt;=D174+N(O174)*Settings!$C$6,Settings!$C$10-AA174&gt;Settings!$C$8*7))),1,0))</f>
        <v/>
      </c>
      <c r="AI174" s="41">
        <f>IF(AH174=0,"",IF(AA174=0,"Never counted",IF(C174&lt;=D174+N(O174)*Settings!$C$6,"Near the reorder point","Not counted for "&amp;INT((Settings!$C$10-AA174)/7)&amp;" weeks")))</f>
        <v/>
      </c>
      <c r="AJ174" s="41">
        <f>IF(AH174=1,IFERROR(MATCH(M174,Settings!$G$19:$G$38,0),99)*1000+ROW(),"")</f>
        <v/>
      </c>
      <c r="AK174" s="41">
        <f>IF(AJ174="","",COUNTIF('Stock list'!$AJ$2:$AJ$301,"&lt;"&amp;AJ174)+1)</f>
        <v/>
      </c>
      <c r="AL174" s="41">
        <f>IF(OR(A174="",N(AC174)=0),"",AC174+ROW()/1000000)</f>
        <v/>
      </c>
    </row>
    <row r="175">
      <c r="A175" s="24" t="n"/>
      <c r="B175" s="30">
        <f>IF(A175="","",IF(AA175=0,"No count",IF(AND(N(O175)&gt;0,C175/O175*7&lt;Q175),"Critical",IF(F175&gt;0,"On order",IF(AND(D175&gt;0,C175&lt;=D175),"Order now","OK")))))</f>
        <v/>
      </c>
      <c r="C175" s="31">
        <f>IF(A175="","",MAX(0,IF(_xlfn.MAXIFS(Log!$A$2:$A$1001,Log!$B$2:$B$1001,A175,Log!$C$2:$C$1001,"Count")&gt;N(S175),_xlfn.MAXIFS(Log!$D$2:$D$1001,Log!$B$2:$B$1001,A175,Log!$C$2:$C$1001,"Count",Log!$A$2:$A$1001,AA175),N(R175))+SUMIFS(Log!$D$2:$D$1001,Log!$B$2:$B$1001,A175,Log!$C$2:$C$1001,"Received",Log!$A$2:$A$1001,"&gt;"&amp;AA175)-SUMIFS(Log!$D$2:$D$1001,Log!$B$2:$B$1001,A175,Log!$C$2:$C$1001,"Used",Log!$A$2:$A$1001,"&gt;"&amp;AA175)+SUMIFS(Log!$D$2:$D$1001,Log!$B$2:$B$1001,A175,Log!$C$2:$C$1001,"Adjustment",Log!$A$2:$A$1001,"&gt;"&amp;AA175)))</f>
        <v/>
      </c>
      <c r="D175" s="32">
        <f>IF(A175="","",IF(X175&lt;&gt;"",X175,W175))</f>
        <v/>
      </c>
      <c r="E175" s="33">
        <f>IF(OR(A175="",N(O175)=0),"",C175/O175)</f>
        <v/>
      </c>
      <c r="F175" s="31">
        <f>IF(A175="","",MAX(0,N(T175)-SUMIFS(Log!$D$2:$D$1001,Log!$B$2:$B$1001,A175,Log!$C$2:$C$1001,"Received",Log!$A$2:$A$1001,"&gt;="&amp;N(U175))))</f>
        <v/>
      </c>
      <c r="G175" s="24" t="n"/>
      <c r="H175" s="24" t="n"/>
      <c r="I175" s="24" t="n"/>
      <c r="J175" s="24" t="n"/>
      <c r="K175" s="24" t="n"/>
      <c r="L175" s="34" t="n"/>
      <c r="M175" s="24" t="n"/>
      <c r="N175" s="24" t="n"/>
      <c r="O175" s="35" t="n"/>
      <c r="P175" s="25" t="n"/>
      <c r="Q175" s="36">
        <f>IF(A175="","",IF(P175&lt;&gt;"",P175,IFERROR(IF(N(INDEX(Suppliers!$E$5:$E$24,MATCH(H175,Suppliers!$B$5:$B$24,0)))&gt;0,INDEX(Suppliers!$E$5:$E$24,MATCH(H175,Suppliers!$B$5:$B$24,0)),5),5)))</f>
        <v/>
      </c>
      <c r="R175" s="35" t="n"/>
      <c r="S175" s="37" t="n"/>
      <c r="T175" s="25" t="n"/>
      <c r="U175" s="37" t="n"/>
      <c r="V175" s="37" t="n"/>
      <c r="W175" s="36">
        <f>IF(A175="","",ROUNDUP(N(O175)*(Q175/7+Settings!$C$5),0))</f>
        <v/>
      </c>
      <c r="X175" s="25" t="n"/>
      <c r="Y175" s="25" t="n"/>
      <c r="Z175" s="32">
        <f>IF(A175="","",IF(Y175&lt;&gt;"",Y175,MAX(1,ROUNDUP(N(O175)*Settings!$C$7,0))))</f>
        <v/>
      </c>
      <c r="AA175" s="38">
        <f>IF(A175="","",MAX(N(S175),_xlfn.MAXIFS(Log!$A$2:$A$1001,Log!$B$2:$B$1001,A175,Log!$C$2:$C$1001,"Count")))</f>
        <v/>
      </c>
      <c r="AB175" s="39">
        <f>IF(A175="","",Z175*N(L175))</f>
        <v/>
      </c>
      <c r="AC175" s="40">
        <f>IF(A175="","",N(O175)*52*N(L175))</f>
        <v/>
      </c>
      <c r="AD175" s="39">
        <f>IF(A175="","",C175*N(L175))</f>
        <v/>
      </c>
      <c r="AE175" s="41">
        <f>IF(A175="",0,IF(AND(OR(B175="Order now",B175="Critical"),F175=0),1,0))</f>
        <v/>
      </c>
      <c r="AF175" s="41">
        <f>IF(AE175=1,IFERROR(MATCH(H175,Suppliers!$B$5:$B$24,0),99)*1000+ROW(),"")</f>
        <v/>
      </c>
      <c r="AG175" s="41">
        <f>IF(AF175="","",COUNTIF('Stock list'!$AF$2:$AF$301,"&lt;"&amp;AF175)+1)</f>
        <v/>
      </c>
      <c r="AH175" s="41">
        <f>IF(A175="",0,IF(OR(AA175=0,AND(B175="OK",OR(C175&lt;=D175+N(O175)*Settings!$C$6,Settings!$C$10-AA175&gt;Settings!$C$8*7))),1,0))</f>
        <v/>
      </c>
      <c r="AI175" s="41">
        <f>IF(AH175=0,"",IF(AA175=0,"Never counted",IF(C175&lt;=D175+N(O175)*Settings!$C$6,"Near the reorder point","Not counted for "&amp;INT((Settings!$C$10-AA175)/7)&amp;" weeks")))</f>
        <v/>
      </c>
      <c r="AJ175" s="41">
        <f>IF(AH175=1,IFERROR(MATCH(M175,Settings!$G$19:$G$38,0),99)*1000+ROW(),"")</f>
        <v/>
      </c>
      <c r="AK175" s="41">
        <f>IF(AJ175="","",COUNTIF('Stock list'!$AJ$2:$AJ$301,"&lt;"&amp;AJ175)+1)</f>
        <v/>
      </c>
      <c r="AL175" s="41">
        <f>IF(OR(A175="",N(AC175)=0),"",AC175+ROW()/1000000)</f>
        <v/>
      </c>
    </row>
    <row r="176">
      <c r="A176" s="24" t="n"/>
      <c r="B176" s="30">
        <f>IF(A176="","",IF(AA176=0,"No count",IF(AND(N(O176)&gt;0,C176/O176*7&lt;Q176),"Critical",IF(F176&gt;0,"On order",IF(AND(D176&gt;0,C176&lt;=D176),"Order now","OK")))))</f>
        <v/>
      </c>
      <c r="C176" s="31">
        <f>IF(A176="","",MAX(0,IF(_xlfn.MAXIFS(Log!$A$2:$A$1001,Log!$B$2:$B$1001,A176,Log!$C$2:$C$1001,"Count")&gt;N(S176),_xlfn.MAXIFS(Log!$D$2:$D$1001,Log!$B$2:$B$1001,A176,Log!$C$2:$C$1001,"Count",Log!$A$2:$A$1001,AA176),N(R176))+SUMIFS(Log!$D$2:$D$1001,Log!$B$2:$B$1001,A176,Log!$C$2:$C$1001,"Received",Log!$A$2:$A$1001,"&gt;"&amp;AA176)-SUMIFS(Log!$D$2:$D$1001,Log!$B$2:$B$1001,A176,Log!$C$2:$C$1001,"Used",Log!$A$2:$A$1001,"&gt;"&amp;AA176)+SUMIFS(Log!$D$2:$D$1001,Log!$B$2:$B$1001,A176,Log!$C$2:$C$1001,"Adjustment",Log!$A$2:$A$1001,"&gt;"&amp;AA176)))</f>
        <v/>
      </c>
      <c r="D176" s="32">
        <f>IF(A176="","",IF(X176&lt;&gt;"",X176,W176))</f>
        <v/>
      </c>
      <c r="E176" s="33">
        <f>IF(OR(A176="",N(O176)=0),"",C176/O176)</f>
        <v/>
      </c>
      <c r="F176" s="31">
        <f>IF(A176="","",MAX(0,N(T176)-SUMIFS(Log!$D$2:$D$1001,Log!$B$2:$B$1001,A176,Log!$C$2:$C$1001,"Received",Log!$A$2:$A$1001,"&gt;="&amp;N(U176))))</f>
        <v/>
      </c>
      <c r="G176" s="24" t="n"/>
      <c r="H176" s="24" t="n"/>
      <c r="I176" s="24" t="n"/>
      <c r="J176" s="24" t="n"/>
      <c r="K176" s="24" t="n"/>
      <c r="L176" s="34" t="n"/>
      <c r="M176" s="24" t="n"/>
      <c r="N176" s="24" t="n"/>
      <c r="O176" s="35" t="n"/>
      <c r="P176" s="25" t="n"/>
      <c r="Q176" s="36">
        <f>IF(A176="","",IF(P176&lt;&gt;"",P176,IFERROR(IF(N(INDEX(Suppliers!$E$5:$E$24,MATCH(H176,Suppliers!$B$5:$B$24,0)))&gt;0,INDEX(Suppliers!$E$5:$E$24,MATCH(H176,Suppliers!$B$5:$B$24,0)),5),5)))</f>
        <v/>
      </c>
      <c r="R176" s="35" t="n"/>
      <c r="S176" s="37" t="n"/>
      <c r="T176" s="25" t="n"/>
      <c r="U176" s="37" t="n"/>
      <c r="V176" s="37" t="n"/>
      <c r="W176" s="36">
        <f>IF(A176="","",ROUNDUP(N(O176)*(Q176/7+Settings!$C$5),0))</f>
        <v/>
      </c>
      <c r="X176" s="25" t="n"/>
      <c r="Y176" s="25" t="n"/>
      <c r="Z176" s="32">
        <f>IF(A176="","",IF(Y176&lt;&gt;"",Y176,MAX(1,ROUNDUP(N(O176)*Settings!$C$7,0))))</f>
        <v/>
      </c>
      <c r="AA176" s="38">
        <f>IF(A176="","",MAX(N(S176),_xlfn.MAXIFS(Log!$A$2:$A$1001,Log!$B$2:$B$1001,A176,Log!$C$2:$C$1001,"Count")))</f>
        <v/>
      </c>
      <c r="AB176" s="39">
        <f>IF(A176="","",Z176*N(L176))</f>
        <v/>
      </c>
      <c r="AC176" s="40">
        <f>IF(A176="","",N(O176)*52*N(L176))</f>
        <v/>
      </c>
      <c r="AD176" s="39">
        <f>IF(A176="","",C176*N(L176))</f>
        <v/>
      </c>
      <c r="AE176" s="41">
        <f>IF(A176="",0,IF(AND(OR(B176="Order now",B176="Critical"),F176=0),1,0))</f>
        <v/>
      </c>
      <c r="AF176" s="41">
        <f>IF(AE176=1,IFERROR(MATCH(H176,Suppliers!$B$5:$B$24,0),99)*1000+ROW(),"")</f>
        <v/>
      </c>
      <c r="AG176" s="41">
        <f>IF(AF176="","",COUNTIF('Stock list'!$AF$2:$AF$301,"&lt;"&amp;AF176)+1)</f>
        <v/>
      </c>
      <c r="AH176" s="41">
        <f>IF(A176="",0,IF(OR(AA176=0,AND(B176="OK",OR(C176&lt;=D176+N(O176)*Settings!$C$6,Settings!$C$10-AA176&gt;Settings!$C$8*7))),1,0))</f>
        <v/>
      </c>
      <c r="AI176" s="41">
        <f>IF(AH176=0,"",IF(AA176=0,"Never counted",IF(C176&lt;=D176+N(O176)*Settings!$C$6,"Near the reorder point","Not counted for "&amp;INT((Settings!$C$10-AA176)/7)&amp;" weeks")))</f>
        <v/>
      </c>
      <c r="AJ176" s="41">
        <f>IF(AH176=1,IFERROR(MATCH(M176,Settings!$G$19:$G$38,0),99)*1000+ROW(),"")</f>
        <v/>
      </c>
      <c r="AK176" s="41">
        <f>IF(AJ176="","",COUNTIF('Stock list'!$AJ$2:$AJ$301,"&lt;"&amp;AJ176)+1)</f>
        <v/>
      </c>
      <c r="AL176" s="41">
        <f>IF(OR(A176="",N(AC176)=0),"",AC176+ROW()/1000000)</f>
        <v/>
      </c>
    </row>
    <row r="177">
      <c r="A177" s="24" t="n"/>
      <c r="B177" s="30">
        <f>IF(A177="","",IF(AA177=0,"No count",IF(AND(N(O177)&gt;0,C177/O177*7&lt;Q177),"Critical",IF(F177&gt;0,"On order",IF(AND(D177&gt;0,C177&lt;=D177),"Order now","OK")))))</f>
        <v/>
      </c>
      <c r="C177" s="31">
        <f>IF(A177="","",MAX(0,IF(_xlfn.MAXIFS(Log!$A$2:$A$1001,Log!$B$2:$B$1001,A177,Log!$C$2:$C$1001,"Count")&gt;N(S177),_xlfn.MAXIFS(Log!$D$2:$D$1001,Log!$B$2:$B$1001,A177,Log!$C$2:$C$1001,"Count",Log!$A$2:$A$1001,AA177),N(R177))+SUMIFS(Log!$D$2:$D$1001,Log!$B$2:$B$1001,A177,Log!$C$2:$C$1001,"Received",Log!$A$2:$A$1001,"&gt;"&amp;AA177)-SUMIFS(Log!$D$2:$D$1001,Log!$B$2:$B$1001,A177,Log!$C$2:$C$1001,"Used",Log!$A$2:$A$1001,"&gt;"&amp;AA177)+SUMIFS(Log!$D$2:$D$1001,Log!$B$2:$B$1001,A177,Log!$C$2:$C$1001,"Adjustment",Log!$A$2:$A$1001,"&gt;"&amp;AA177)))</f>
        <v/>
      </c>
      <c r="D177" s="32">
        <f>IF(A177="","",IF(X177&lt;&gt;"",X177,W177))</f>
        <v/>
      </c>
      <c r="E177" s="33">
        <f>IF(OR(A177="",N(O177)=0),"",C177/O177)</f>
        <v/>
      </c>
      <c r="F177" s="31">
        <f>IF(A177="","",MAX(0,N(T177)-SUMIFS(Log!$D$2:$D$1001,Log!$B$2:$B$1001,A177,Log!$C$2:$C$1001,"Received",Log!$A$2:$A$1001,"&gt;="&amp;N(U177))))</f>
        <v/>
      </c>
      <c r="G177" s="24" t="n"/>
      <c r="H177" s="24" t="n"/>
      <c r="I177" s="24" t="n"/>
      <c r="J177" s="24" t="n"/>
      <c r="K177" s="24" t="n"/>
      <c r="L177" s="34" t="n"/>
      <c r="M177" s="24" t="n"/>
      <c r="N177" s="24" t="n"/>
      <c r="O177" s="35" t="n"/>
      <c r="P177" s="25" t="n"/>
      <c r="Q177" s="36">
        <f>IF(A177="","",IF(P177&lt;&gt;"",P177,IFERROR(IF(N(INDEX(Suppliers!$E$5:$E$24,MATCH(H177,Suppliers!$B$5:$B$24,0)))&gt;0,INDEX(Suppliers!$E$5:$E$24,MATCH(H177,Suppliers!$B$5:$B$24,0)),5),5)))</f>
        <v/>
      </c>
      <c r="R177" s="35" t="n"/>
      <c r="S177" s="37" t="n"/>
      <c r="T177" s="25" t="n"/>
      <c r="U177" s="37" t="n"/>
      <c r="V177" s="37" t="n"/>
      <c r="W177" s="36">
        <f>IF(A177="","",ROUNDUP(N(O177)*(Q177/7+Settings!$C$5),0))</f>
        <v/>
      </c>
      <c r="X177" s="25" t="n"/>
      <c r="Y177" s="25" t="n"/>
      <c r="Z177" s="32">
        <f>IF(A177="","",IF(Y177&lt;&gt;"",Y177,MAX(1,ROUNDUP(N(O177)*Settings!$C$7,0))))</f>
        <v/>
      </c>
      <c r="AA177" s="38">
        <f>IF(A177="","",MAX(N(S177),_xlfn.MAXIFS(Log!$A$2:$A$1001,Log!$B$2:$B$1001,A177,Log!$C$2:$C$1001,"Count")))</f>
        <v/>
      </c>
      <c r="AB177" s="39">
        <f>IF(A177="","",Z177*N(L177))</f>
        <v/>
      </c>
      <c r="AC177" s="40">
        <f>IF(A177="","",N(O177)*52*N(L177))</f>
        <v/>
      </c>
      <c r="AD177" s="39">
        <f>IF(A177="","",C177*N(L177))</f>
        <v/>
      </c>
      <c r="AE177" s="41">
        <f>IF(A177="",0,IF(AND(OR(B177="Order now",B177="Critical"),F177=0),1,0))</f>
        <v/>
      </c>
      <c r="AF177" s="41">
        <f>IF(AE177=1,IFERROR(MATCH(H177,Suppliers!$B$5:$B$24,0),99)*1000+ROW(),"")</f>
        <v/>
      </c>
      <c r="AG177" s="41">
        <f>IF(AF177="","",COUNTIF('Stock list'!$AF$2:$AF$301,"&lt;"&amp;AF177)+1)</f>
        <v/>
      </c>
      <c r="AH177" s="41">
        <f>IF(A177="",0,IF(OR(AA177=0,AND(B177="OK",OR(C177&lt;=D177+N(O177)*Settings!$C$6,Settings!$C$10-AA177&gt;Settings!$C$8*7))),1,0))</f>
        <v/>
      </c>
      <c r="AI177" s="41">
        <f>IF(AH177=0,"",IF(AA177=0,"Never counted",IF(C177&lt;=D177+N(O177)*Settings!$C$6,"Near the reorder point","Not counted for "&amp;INT((Settings!$C$10-AA177)/7)&amp;" weeks")))</f>
        <v/>
      </c>
      <c r="AJ177" s="41">
        <f>IF(AH177=1,IFERROR(MATCH(M177,Settings!$G$19:$G$38,0),99)*1000+ROW(),"")</f>
        <v/>
      </c>
      <c r="AK177" s="41">
        <f>IF(AJ177="","",COUNTIF('Stock list'!$AJ$2:$AJ$301,"&lt;"&amp;AJ177)+1)</f>
        <v/>
      </c>
      <c r="AL177" s="41">
        <f>IF(OR(A177="",N(AC177)=0),"",AC177+ROW()/1000000)</f>
        <v/>
      </c>
    </row>
    <row r="178">
      <c r="A178" s="24" t="n"/>
      <c r="B178" s="30">
        <f>IF(A178="","",IF(AA178=0,"No count",IF(AND(N(O178)&gt;0,C178/O178*7&lt;Q178),"Critical",IF(F178&gt;0,"On order",IF(AND(D178&gt;0,C178&lt;=D178),"Order now","OK")))))</f>
        <v/>
      </c>
      <c r="C178" s="31">
        <f>IF(A178="","",MAX(0,IF(_xlfn.MAXIFS(Log!$A$2:$A$1001,Log!$B$2:$B$1001,A178,Log!$C$2:$C$1001,"Count")&gt;N(S178),_xlfn.MAXIFS(Log!$D$2:$D$1001,Log!$B$2:$B$1001,A178,Log!$C$2:$C$1001,"Count",Log!$A$2:$A$1001,AA178),N(R178))+SUMIFS(Log!$D$2:$D$1001,Log!$B$2:$B$1001,A178,Log!$C$2:$C$1001,"Received",Log!$A$2:$A$1001,"&gt;"&amp;AA178)-SUMIFS(Log!$D$2:$D$1001,Log!$B$2:$B$1001,A178,Log!$C$2:$C$1001,"Used",Log!$A$2:$A$1001,"&gt;"&amp;AA178)+SUMIFS(Log!$D$2:$D$1001,Log!$B$2:$B$1001,A178,Log!$C$2:$C$1001,"Adjustment",Log!$A$2:$A$1001,"&gt;"&amp;AA178)))</f>
        <v/>
      </c>
      <c r="D178" s="32">
        <f>IF(A178="","",IF(X178&lt;&gt;"",X178,W178))</f>
        <v/>
      </c>
      <c r="E178" s="33">
        <f>IF(OR(A178="",N(O178)=0),"",C178/O178)</f>
        <v/>
      </c>
      <c r="F178" s="31">
        <f>IF(A178="","",MAX(0,N(T178)-SUMIFS(Log!$D$2:$D$1001,Log!$B$2:$B$1001,A178,Log!$C$2:$C$1001,"Received",Log!$A$2:$A$1001,"&gt;="&amp;N(U178))))</f>
        <v/>
      </c>
      <c r="G178" s="24" t="n"/>
      <c r="H178" s="24" t="n"/>
      <c r="I178" s="24" t="n"/>
      <c r="J178" s="24" t="n"/>
      <c r="K178" s="24" t="n"/>
      <c r="L178" s="34" t="n"/>
      <c r="M178" s="24" t="n"/>
      <c r="N178" s="24" t="n"/>
      <c r="O178" s="35" t="n"/>
      <c r="P178" s="25" t="n"/>
      <c r="Q178" s="36">
        <f>IF(A178="","",IF(P178&lt;&gt;"",P178,IFERROR(IF(N(INDEX(Suppliers!$E$5:$E$24,MATCH(H178,Suppliers!$B$5:$B$24,0)))&gt;0,INDEX(Suppliers!$E$5:$E$24,MATCH(H178,Suppliers!$B$5:$B$24,0)),5),5)))</f>
        <v/>
      </c>
      <c r="R178" s="35" t="n"/>
      <c r="S178" s="37" t="n"/>
      <c r="T178" s="25" t="n"/>
      <c r="U178" s="37" t="n"/>
      <c r="V178" s="37" t="n"/>
      <c r="W178" s="36">
        <f>IF(A178="","",ROUNDUP(N(O178)*(Q178/7+Settings!$C$5),0))</f>
        <v/>
      </c>
      <c r="X178" s="25" t="n"/>
      <c r="Y178" s="25" t="n"/>
      <c r="Z178" s="32">
        <f>IF(A178="","",IF(Y178&lt;&gt;"",Y178,MAX(1,ROUNDUP(N(O178)*Settings!$C$7,0))))</f>
        <v/>
      </c>
      <c r="AA178" s="38">
        <f>IF(A178="","",MAX(N(S178),_xlfn.MAXIFS(Log!$A$2:$A$1001,Log!$B$2:$B$1001,A178,Log!$C$2:$C$1001,"Count")))</f>
        <v/>
      </c>
      <c r="AB178" s="39">
        <f>IF(A178="","",Z178*N(L178))</f>
        <v/>
      </c>
      <c r="AC178" s="40">
        <f>IF(A178="","",N(O178)*52*N(L178))</f>
        <v/>
      </c>
      <c r="AD178" s="39">
        <f>IF(A178="","",C178*N(L178))</f>
        <v/>
      </c>
      <c r="AE178" s="41">
        <f>IF(A178="",0,IF(AND(OR(B178="Order now",B178="Critical"),F178=0),1,0))</f>
        <v/>
      </c>
      <c r="AF178" s="41">
        <f>IF(AE178=1,IFERROR(MATCH(H178,Suppliers!$B$5:$B$24,0),99)*1000+ROW(),"")</f>
        <v/>
      </c>
      <c r="AG178" s="41">
        <f>IF(AF178="","",COUNTIF('Stock list'!$AF$2:$AF$301,"&lt;"&amp;AF178)+1)</f>
        <v/>
      </c>
      <c r="AH178" s="41">
        <f>IF(A178="",0,IF(OR(AA178=0,AND(B178="OK",OR(C178&lt;=D178+N(O178)*Settings!$C$6,Settings!$C$10-AA178&gt;Settings!$C$8*7))),1,0))</f>
        <v/>
      </c>
      <c r="AI178" s="41">
        <f>IF(AH178=0,"",IF(AA178=0,"Never counted",IF(C178&lt;=D178+N(O178)*Settings!$C$6,"Near the reorder point","Not counted for "&amp;INT((Settings!$C$10-AA178)/7)&amp;" weeks")))</f>
        <v/>
      </c>
      <c r="AJ178" s="41">
        <f>IF(AH178=1,IFERROR(MATCH(M178,Settings!$G$19:$G$38,0),99)*1000+ROW(),"")</f>
        <v/>
      </c>
      <c r="AK178" s="41">
        <f>IF(AJ178="","",COUNTIF('Stock list'!$AJ$2:$AJ$301,"&lt;"&amp;AJ178)+1)</f>
        <v/>
      </c>
      <c r="AL178" s="41">
        <f>IF(OR(A178="",N(AC178)=0),"",AC178+ROW()/1000000)</f>
        <v/>
      </c>
    </row>
    <row r="179">
      <c r="A179" s="24" t="n"/>
      <c r="B179" s="30">
        <f>IF(A179="","",IF(AA179=0,"No count",IF(AND(N(O179)&gt;0,C179/O179*7&lt;Q179),"Critical",IF(F179&gt;0,"On order",IF(AND(D179&gt;0,C179&lt;=D179),"Order now","OK")))))</f>
        <v/>
      </c>
      <c r="C179" s="31">
        <f>IF(A179="","",MAX(0,IF(_xlfn.MAXIFS(Log!$A$2:$A$1001,Log!$B$2:$B$1001,A179,Log!$C$2:$C$1001,"Count")&gt;N(S179),_xlfn.MAXIFS(Log!$D$2:$D$1001,Log!$B$2:$B$1001,A179,Log!$C$2:$C$1001,"Count",Log!$A$2:$A$1001,AA179),N(R179))+SUMIFS(Log!$D$2:$D$1001,Log!$B$2:$B$1001,A179,Log!$C$2:$C$1001,"Received",Log!$A$2:$A$1001,"&gt;"&amp;AA179)-SUMIFS(Log!$D$2:$D$1001,Log!$B$2:$B$1001,A179,Log!$C$2:$C$1001,"Used",Log!$A$2:$A$1001,"&gt;"&amp;AA179)+SUMIFS(Log!$D$2:$D$1001,Log!$B$2:$B$1001,A179,Log!$C$2:$C$1001,"Adjustment",Log!$A$2:$A$1001,"&gt;"&amp;AA179)))</f>
        <v/>
      </c>
      <c r="D179" s="32">
        <f>IF(A179="","",IF(X179&lt;&gt;"",X179,W179))</f>
        <v/>
      </c>
      <c r="E179" s="33">
        <f>IF(OR(A179="",N(O179)=0),"",C179/O179)</f>
        <v/>
      </c>
      <c r="F179" s="31">
        <f>IF(A179="","",MAX(0,N(T179)-SUMIFS(Log!$D$2:$D$1001,Log!$B$2:$B$1001,A179,Log!$C$2:$C$1001,"Received",Log!$A$2:$A$1001,"&gt;="&amp;N(U179))))</f>
        <v/>
      </c>
      <c r="G179" s="24" t="n"/>
      <c r="H179" s="24" t="n"/>
      <c r="I179" s="24" t="n"/>
      <c r="J179" s="24" t="n"/>
      <c r="K179" s="24" t="n"/>
      <c r="L179" s="34" t="n"/>
      <c r="M179" s="24" t="n"/>
      <c r="N179" s="24" t="n"/>
      <c r="O179" s="35" t="n"/>
      <c r="P179" s="25" t="n"/>
      <c r="Q179" s="36">
        <f>IF(A179="","",IF(P179&lt;&gt;"",P179,IFERROR(IF(N(INDEX(Suppliers!$E$5:$E$24,MATCH(H179,Suppliers!$B$5:$B$24,0)))&gt;0,INDEX(Suppliers!$E$5:$E$24,MATCH(H179,Suppliers!$B$5:$B$24,0)),5),5)))</f>
        <v/>
      </c>
      <c r="R179" s="35" t="n"/>
      <c r="S179" s="37" t="n"/>
      <c r="T179" s="25" t="n"/>
      <c r="U179" s="37" t="n"/>
      <c r="V179" s="37" t="n"/>
      <c r="W179" s="36">
        <f>IF(A179="","",ROUNDUP(N(O179)*(Q179/7+Settings!$C$5),0))</f>
        <v/>
      </c>
      <c r="X179" s="25" t="n"/>
      <c r="Y179" s="25" t="n"/>
      <c r="Z179" s="32">
        <f>IF(A179="","",IF(Y179&lt;&gt;"",Y179,MAX(1,ROUNDUP(N(O179)*Settings!$C$7,0))))</f>
        <v/>
      </c>
      <c r="AA179" s="38">
        <f>IF(A179="","",MAX(N(S179),_xlfn.MAXIFS(Log!$A$2:$A$1001,Log!$B$2:$B$1001,A179,Log!$C$2:$C$1001,"Count")))</f>
        <v/>
      </c>
      <c r="AB179" s="39">
        <f>IF(A179="","",Z179*N(L179))</f>
        <v/>
      </c>
      <c r="AC179" s="40">
        <f>IF(A179="","",N(O179)*52*N(L179))</f>
        <v/>
      </c>
      <c r="AD179" s="39">
        <f>IF(A179="","",C179*N(L179))</f>
        <v/>
      </c>
      <c r="AE179" s="41">
        <f>IF(A179="",0,IF(AND(OR(B179="Order now",B179="Critical"),F179=0),1,0))</f>
        <v/>
      </c>
      <c r="AF179" s="41">
        <f>IF(AE179=1,IFERROR(MATCH(H179,Suppliers!$B$5:$B$24,0),99)*1000+ROW(),"")</f>
        <v/>
      </c>
      <c r="AG179" s="41">
        <f>IF(AF179="","",COUNTIF('Stock list'!$AF$2:$AF$301,"&lt;"&amp;AF179)+1)</f>
        <v/>
      </c>
      <c r="AH179" s="41">
        <f>IF(A179="",0,IF(OR(AA179=0,AND(B179="OK",OR(C179&lt;=D179+N(O179)*Settings!$C$6,Settings!$C$10-AA179&gt;Settings!$C$8*7))),1,0))</f>
        <v/>
      </c>
      <c r="AI179" s="41">
        <f>IF(AH179=0,"",IF(AA179=0,"Never counted",IF(C179&lt;=D179+N(O179)*Settings!$C$6,"Near the reorder point","Not counted for "&amp;INT((Settings!$C$10-AA179)/7)&amp;" weeks")))</f>
        <v/>
      </c>
      <c r="AJ179" s="41">
        <f>IF(AH179=1,IFERROR(MATCH(M179,Settings!$G$19:$G$38,0),99)*1000+ROW(),"")</f>
        <v/>
      </c>
      <c r="AK179" s="41">
        <f>IF(AJ179="","",COUNTIF('Stock list'!$AJ$2:$AJ$301,"&lt;"&amp;AJ179)+1)</f>
        <v/>
      </c>
      <c r="AL179" s="41">
        <f>IF(OR(A179="",N(AC179)=0),"",AC179+ROW()/1000000)</f>
        <v/>
      </c>
    </row>
    <row r="180">
      <c r="A180" s="24" t="n"/>
      <c r="B180" s="30">
        <f>IF(A180="","",IF(AA180=0,"No count",IF(AND(N(O180)&gt;0,C180/O180*7&lt;Q180),"Critical",IF(F180&gt;0,"On order",IF(AND(D180&gt;0,C180&lt;=D180),"Order now","OK")))))</f>
        <v/>
      </c>
      <c r="C180" s="31">
        <f>IF(A180="","",MAX(0,IF(_xlfn.MAXIFS(Log!$A$2:$A$1001,Log!$B$2:$B$1001,A180,Log!$C$2:$C$1001,"Count")&gt;N(S180),_xlfn.MAXIFS(Log!$D$2:$D$1001,Log!$B$2:$B$1001,A180,Log!$C$2:$C$1001,"Count",Log!$A$2:$A$1001,AA180),N(R180))+SUMIFS(Log!$D$2:$D$1001,Log!$B$2:$B$1001,A180,Log!$C$2:$C$1001,"Received",Log!$A$2:$A$1001,"&gt;"&amp;AA180)-SUMIFS(Log!$D$2:$D$1001,Log!$B$2:$B$1001,A180,Log!$C$2:$C$1001,"Used",Log!$A$2:$A$1001,"&gt;"&amp;AA180)+SUMIFS(Log!$D$2:$D$1001,Log!$B$2:$B$1001,A180,Log!$C$2:$C$1001,"Adjustment",Log!$A$2:$A$1001,"&gt;"&amp;AA180)))</f>
        <v/>
      </c>
      <c r="D180" s="32">
        <f>IF(A180="","",IF(X180&lt;&gt;"",X180,W180))</f>
        <v/>
      </c>
      <c r="E180" s="33">
        <f>IF(OR(A180="",N(O180)=0),"",C180/O180)</f>
        <v/>
      </c>
      <c r="F180" s="31">
        <f>IF(A180="","",MAX(0,N(T180)-SUMIFS(Log!$D$2:$D$1001,Log!$B$2:$B$1001,A180,Log!$C$2:$C$1001,"Received",Log!$A$2:$A$1001,"&gt;="&amp;N(U180))))</f>
        <v/>
      </c>
      <c r="G180" s="24" t="n"/>
      <c r="H180" s="24" t="n"/>
      <c r="I180" s="24" t="n"/>
      <c r="J180" s="24" t="n"/>
      <c r="K180" s="24" t="n"/>
      <c r="L180" s="34" t="n"/>
      <c r="M180" s="24" t="n"/>
      <c r="N180" s="24" t="n"/>
      <c r="O180" s="35" t="n"/>
      <c r="P180" s="25" t="n"/>
      <c r="Q180" s="36">
        <f>IF(A180="","",IF(P180&lt;&gt;"",P180,IFERROR(IF(N(INDEX(Suppliers!$E$5:$E$24,MATCH(H180,Suppliers!$B$5:$B$24,0)))&gt;0,INDEX(Suppliers!$E$5:$E$24,MATCH(H180,Suppliers!$B$5:$B$24,0)),5),5)))</f>
        <v/>
      </c>
      <c r="R180" s="35" t="n"/>
      <c r="S180" s="37" t="n"/>
      <c r="T180" s="25" t="n"/>
      <c r="U180" s="37" t="n"/>
      <c r="V180" s="37" t="n"/>
      <c r="W180" s="36">
        <f>IF(A180="","",ROUNDUP(N(O180)*(Q180/7+Settings!$C$5),0))</f>
        <v/>
      </c>
      <c r="X180" s="25" t="n"/>
      <c r="Y180" s="25" t="n"/>
      <c r="Z180" s="32">
        <f>IF(A180="","",IF(Y180&lt;&gt;"",Y180,MAX(1,ROUNDUP(N(O180)*Settings!$C$7,0))))</f>
        <v/>
      </c>
      <c r="AA180" s="38">
        <f>IF(A180="","",MAX(N(S180),_xlfn.MAXIFS(Log!$A$2:$A$1001,Log!$B$2:$B$1001,A180,Log!$C$2:$C$1001,"Count")))</f>
        <v/>
      </c>
      <c r="AB180" s="39">
        <f>IF(A180="","",Z180*N(L180))</f>
        <v/>
      </c>
      <c r="AC180" s="40">
        <f>IF(A180="","",N(O180)*52*N(L180))</f>
        <v/>
      </c>
      <c r="AD180" s="39">
        <f>IF(A180="","",C180*N(L180))</f>
        <v/>
      </c>
      <c r="AE180" s="41">
        <f>IF(A180="",0,IF(AND(OR(B180="Order now",B180="Critical"),F180=0),1,0))</f>
        <v/>
      </c>
      <c r="AF180" s="41">
        <f>IF(AE180=1,IFERROR(MATCH(H180,Suppliers!$B$5:$B$24,0),99)*1000+ROW(),"")</f>
        <v/>
      </c>
      <c r="AG180" s="41">
        <f>IF(AF180="","",COUNTIF('Stock list'!$AF$2:$AF$301,"&lt;"&amp;AF180)+1)</f>
        <v/>
      </c>
      <c r="AH180" s="41">
        <f>IF(A180="",0,IF(OR(AA180=0,AND(B180="OK",OR(C180&lt;=D180+N(O180)*Settings!$C$6,Settings!$C$10-AA180&gt;Settings!$C$8*7))),1,0))</f>
        <v/>
      </c>
      <c r="AI180" s="41">
        <f>IF(AH180=0,"",IF(AA180=0,"Never counted",IF(C180&lt;=D180+N(O180)*Settings!$C$6,"Near the reorder point","Not counted for "&amp;INT((Settings!$C$10-AA180)/7)&amp;" weeks")))</f>
        <v/>
      </c>
      <c r="AJ180" s="41">
        <f>IF(AH180=1,IFERROR(MATCH(M180,Settings!$G$19:$G$38,0),99)*1000+ROW(),"")</f>
        <v/>
      </c>
      <c r="AK180" s="41">
        <f>IF(AJ180="","",COUNTIF('Stock list'!$AJ$2:$AJ$301,"&lt;"&amp;AJ180)+1)</f>
        <v/>
      </c>
      <c r="AL180" s="41">
        <f>IF(OR(A180="",N(AC180)=0),"",AC180+ROW()/1000000)</f>
        <v/>
      </c>
    </row>
    <row r="181">
      <c r="A181" s="24" t="n"/>
      <c r="B181" s="30">
        <f>IF(A181="","",IF(AA181=0,"No count",IF(AND(N(O181)&gt;0,C181/O181*7&lt;Q181),"Critical",IF(F181&gt;0,"On order",IF(AND(D181&gt;0,C181&lt;=D181),"Order now","OK")))))</f>
        <v/>
      </c>
      <c r="C181" s="31">
        <f>IF(A181="","",MAX(0,IF(_xlfn.MAXIFS(Log!$A$2:$A$1001,Log!$B$2:$B$1001,A181,Log!$C$2:$C$1001,"Count")&gt;N(S181),_xlfn.MAXIFS(Log!$D$2:$D$1001,Log!$B$2:$B$1001,A181,Log!$C$2:$C$1001,"Count",Log!$A$2:$A$1001,AA181),N(R181))+SUMIFS(Log!$D$2:$D$1001,Log!$B$2:$B$1001,A181,Log!$C$2:$C$1001,"Received",Log!$A$2:$A$1001,"&gt;"&amp;AA181)-SUMIFS(Log!$D$2:$D$1001,Log!$B$2:$B$1001,A181,Log!$C$2:$C$1001,"Used",Log!$A$2:$A$1001,"&gt;"&amp;AA181)+SUMIFS(Log!$D$2:$D$1001,Log!$B$2:$B$1001,A181,Log!$C$2:$C$1001,"Adjustment",Log!$A$2:$A$1001,"&gt;"&amp;AA181)))</f>
        <v/>
      </c>
      <c r="D181" s="32">
        <f>IF(A181="","",IF(X181&lt;&gt;"",X181,W181))</f>
        <v/>
      </c>
      <c r="E181" s="33">
        <f>IF(OR(A181="",N(O181)=0),"",C181/O181)</f>
        <v/>
      </c>
      <c r="F181" s="31">
        <f>IF(A181="","",MAX(0,N(T181)-SUMIFS(Log!$D$2:$D$1001,Log!$B$2:$B$1001,A181,Log!$C$2:$C$1001,"Received",Log!$A$2:$A$1001,"&gt;="&amp;N(U181))))</f>
        <v/>
      </c>
      <c r="G181" s="24" t="n"/>
      <c r="H181" s="24" t="n"/>
      <c r="I181" s="24" t="n"/>
      <c r="J181" s="24" t="n"/>
      <c r="K181" s="24" t="n"/>
      <c r="L181" s="34" t="n"/>
      <c r="M181" s="24" t="n"/>
      <c r="N181" s="24" t="n"/>
      <c r="O181" s="35" t="n"/>
      <c r="P181" s="25" t="n"/>
      <c r="Q181" s="36">
        <f>IF(A181="","",IF(P181&lt;&gt;"",P181,IFERROR(IF(N(INDEX(Suppliers!$E$5:$E$24,MATCH(H181,Suppliers!$B$5:$B$24,0)))&gt;0,INDEX(Suppliers!$E$5:$E$24,MATCH(H181,Suppliers!$B$5:$B$24,0)),5),5)))</f>
        <v/>
      </c>
      <c r="R181" s="35" t="n"/>
      <c r="S181" s="37" t="n"/>
      <c r="T181" s="25" t="n"/>
      <c r="U181" s="37" t="n"/>
      <c r="V181" s="37" t="n"/>
      <c r="W181" s="36">
        <f>IF(A181="","",ROUNDUP(N(O181)*(Q181/7+Settings!$C$5),0))</f>
        <v/>
      </c>
      <c r="X181" s="25" t="n"/>
      <c r="Y181" s="25" t="n"/>
      <c r="Z181" s="32">
        <f>IF(A181="","",IF(Y181&lt;&gt;"",Y181,MAX(1,ROUNDUP(N(O181)*Settings!$C$7,0))))</f>
        <v/>
      </c>
      <c r="AA181" s="38">
        <f>IF(A181="","",MAX(N(S181),_xlfn.MAXIFS(Log!$A$2:$A$1001,Log!$B$2:$B$1001,A181,Log!$C$2:$C$1001,"Count")))</f>
        <v/>
      </c>
      <c r="AB181" s="39">
        <f>IF(A181="","",Z181*N(L181))</f>
        <v/>
      </c>
      <c r="AC181" s="40">
        <f>IF(A181="","",N(O181)*52*N(L181))</f>
        <v/>
      </c>
      <c r="AD181" s="39">
        <f>IF(A181="","",C181*N(L181))</f>
        <v/>
      </c>
      <c r="AE181" s="41">
        <f>IF(A181="",0,IF(AND(OR(B181="Order now",B181="Critical"),F181=0),1,0))</f>
        <v/>
      </c>
      <c r="AF181" s="41">
        <f>IF(AE181=1,IFERROR(MATCH(H181,Suppliers!$B$5:$B$24,0),99)*1000+ROW(),"")</f>
        <v/>
      </c>
      <c r="AG181" s="41">
        <f>IF(AF181="","",COUNTIF('Stock list'!$AF$2:$AF$301,"&lt;"&amp;AF181)+1)</f>
        <v/>
      </c>
      <c r="AH181" s="41">
        <f>IF(A181="",0,IF(OR(AA181=0,AND(B181="OK",OR(C181&lt;=D181+N(O181)*Settings!$C$6,Settings!$C$10-AA181&gt;Settings!$C$8*7))),1,0))</f>
        <v/>
      </c>
      <c r="AI181" s="41">
        <f>IF(AH181=0,"",IF(AA181=0,"Never counted",IF(C181&lt;=D181+N(O181)*Settings!$C$6,"Near the reorder point","Not counted for "&amp;INT((Settings!$C$10-AA181)/7)&amp;" weeks")))</f>
        <v/>
      </c>
      <c r="AJ181" s="41">
        <f>IF(AH181=1,IFERROR(MATCH(M181,Settings!$G$19:$G$38,0),99)*1000+ROW(),"")</f>
        <v/>
      </c>
      <c r="AK181" s="41">
        <f>IF(AJ181="","",COUNTIF('Stock list'!$AJ$2:$AJ$301,"&lt;"&amp;AJ181)+1)</f>
        <v/>
      </c>
      <c r="AL181" s="41">
        <f>IF(OR(A181="",N(AC181)=0),"",AC181+ROW()/1000000)</f>
        <v/>
      </c>
    </row>
    <row r="182">
      <c r="A182" s="24" t="n"/>
      <c r="B182" s="30">
        <f>IF(A182="","",IF(AA182=0,"No count",IF(AND(N(O182)&gt;0,C182/O182*7&lt;Q182),"Critical",IF(F182&gt;0,"On order",IF(AND(D182&gt;0,C182&lt;=D182),"Order now","OK")))))</f>
        <v/>
      </c>
      <c r="C182" s="31">
        <f>IF(A182="","",MAX(0,IF(_xlfn.MAXIFS(Log!$A$2:$A$1001,Log!$B$2:$B$1001,A182,Log!$C$2:$C$1001,"Count")&gt;N(S182),_xlfn.MAXIFS(Log!$D$2:$D$1001,Log!$B$2:$B$1001,A182,Log!$C$2:$C$1001,"Count",Log!$A$2:$A$1001,AA182),N(R182))+SUMIFS(Log!$D$2:$D$1001,Log!$B$2:$B$1001,A182,Log!$C$2:$C$1001,"Received",Log!$A$2:$A$1001,"&gt;"&amp;AA182)-SUMIFS(Log!$D$2:$D$1001,Log!$B$2:$B$1001,A182,Log!$C$2:$C$1001,"Used",Log!$A$2:$A$1001,"&gt;"&amp;AA182)+SUMIFS(Log!$D$2:$D$1001,Log!$B$2:$B$1001,A182,Log!$C$2:$C$1001,"Adjustment",Log!$A$2:$A$1001,"&gt;"&amp;AA182)))</f>
        <v/>
      </c>
      <c r="D182" s="32">
        <f>IF(A182="","",IF(X182&lt;&gt;"",X182,W182))</f>
        <v/>
      </c>
      <c r="E182" s="33">
        <f>IF(OR(A182="",N(O182)=0),"",C182/O182)</f>
        <v/>
      </c>
      <c r="F182" s="31">
        <f>IF(A182="","",MAX(0,N(T182)-SUMIFS(Log!$D$2:$D$1001,Log!$B$2:$B$1001,A182,Log!$C$2:$C$1001,"Received",Log!$A$2:$A$1001,"&gt;="&amp;N(U182))))</f>
        <v/>
      </c>
      <c r="G182" s="24" t="n"/>
      <c r="H182" s="24" t="n"/>
      <c r="I182" s="24" t="n"/>
      <c r="J182" s="24" t="n"/>
      <c r="K182" s="24" t="n"/>
      <c r="L182" s="34" t="n"/>
      <c r="M182" s="24" t="n"/>
      <c r="N182" s="24" t="n"/>
      <c r="O182" s="35" t="n"/>
      <c r="P182" s="25" t="n"/>
      <c r="Q182" s="36">
        <f>IF(A182="","",IF(P182&lt;&gt;"",P182,IFERROR(IF(N(INDEX(Suppliers!$E$5:$E$24,MATCH(H182,Suppliers!$B$5:$B$24,0)))&gt;0,INDEX(Suppliers!$E$5:$E$24,MATCH(H182,Suppliers!$B$5:$B$24,0)),5),5)))</f>
        <v/>
      </c>
      <c r="R182" s="35" t="n"/>
      <c r="S182" s="37" t="n"/>
      <c r="T182" s="25" t="n"/>
      <c r="U182" s="37" t="n"/>
      <c r="V182" s="37" t="n"/>
      <c r="W182" s="36">
        <f>IF(A182="","",ROUNDUP(N(O182)*(Q182/7+Settings!$C$5),0))</f>
        <v/>
      </c>
      <c r="X182" s="25" t="n"/>
      <c r="Y182" s="25" t="n"/>
      <c r="Z182" s="32">
        <f>IF(A182="","",IF(Y182&lt;&gt;"",Y182,MAX(1,ROUNDUP(N(O182)*Settings!$C$7,0))))</f>
        <v/>
      </c>
      <c r="AA182" s="38">
        <f>IF(A182="","",MAX(N(S182),_xlfn.MAXIFS(Log!$A$2:$A$1001,Log!$B$2:$B$1001,A182,Log!$C$2:$C$1001,"Count")))</f>
        <v/>
      </c>
      <c r="AB182" s="39">
        <f>IF(A182="","",Z182*N(L182))</f>
        <v/>
      </c>
      <c r="AC182" s="40">
        <f>IF(A182="","",N(O182)*52*N(L182))</f>
        <v/>
      </c>
      <c r="AD182" s="39">
        <f>IF(A182="","",C182*N(L182))</f>
        <v/>
      </c>
      <c r="AE182" s="41">
        <f>IF(A182="",0,IF(AND(OR(B182="Order now",B182="Critical"),F182=0),1,0))</f>
        <v/>
      </c>
      <c r="AF182" s="41">
        <f>IF(AE182=1,IFERROR(MATCH(H182,Suppliers!$B$5:$B$24,0),99)*1000+ROW(),"")</f>
        <v/>
      </c>
      <c r="AG182" s="41">
        <f>IF(AF182="","",COUNTIF('Stock list'!$AF$2:$AF$301,"&lt;"&amp;AF182)+1)</f>
        <v/>
      </c>
      <c r="AH182" s="41">
        <f>IF(A182="",0,IF(OR(AA182=0,AND(B182="OK",OR(C182&lt;=D182+N(O182)*Settings!$C$6,Settings!$C$10-AA182&gt;Settings!$C$8*7))),1,0))</f>
        <v/>
      </c>
      <c r="AI182" s="41">
        <f>IF(AH182=0,"",IF(AA182=0,"Never counted",IF(C182&lt;=D182+N(O182)*Settings!$C$6,"Near the reorder point","Not counted for "&amp;INT((Settings!$C$10-AA182)/7)&amp;" weeks")))</f>
        <v/>
      </c>
      <c r="AJ182" s="41">
        <f>IF(AH182=1,IFERROR(MATCH(M182,Settings!$G$19:$G$38,0),99)*1000+ROW(),"")</f>
        <v/>
      </c>
      <c r="AK182" s="41">
        <f>IF(AJ182="","",COUNTIF('Stock list'!$AJ$2:$AJ$301,"&lt;"&amp;AJ182)+1)</f>
        <v/>
      </c>
      <c r="AL182" s="41">
        <f>IF(OR(A182="",N(AC182)=0),"",AC182+ROW()/1000000)</f>
        <v/>
      </c>
    </row>
    <row r="183">
      <c r="A183" s="24" t="n"/>
      <c r="B183" s="30">
        <f>IF(A183="","",IF(AA183=0,"No count",IF(AND(N(O183)&gt;0,C183/O183*7&lt;Q183),"Critical",IF(F183&gt;0,"On order",IF(AND(D183&gt;0,C183&lt;=D183),"Order now","OK")))))</f>
        <v/>
      </c>
      <c r="C183" s="31">
        <f>IF(A183="","",MAX(0,IF(_xlfn.MAXIFS(Log!$A$2:$A$1001,Log!$B$2:$B$1001,A183,Log!$C$2:$C$1001,"Count")&gt;N(S183),_xlfn.MAXIFS(Log!$D$2:$D$1001,Log!$B$2:$B$1001,A183,Log!$C$2:$C$1001,"Count",Log!$A$2:$A$1001,AA183),N(R183))+SUMIFS(Log!$D$2:$D$1001,Log!$B$2:$B$1001,A183,Log!$C$2:$C$1001,"Received",Log!$A$2:$A$1001,"&gt;"&amp;AA183)-SUMIFS(Log!$D$2:$D$1001,Log!$B$2:$B$1001,A183,Log!$C$2:$C$1001,"Used",Log!$A$2:$A$1001,"&gt;"&amp;AA183)+SUMIFS(Log!$D$2:$D$1001,Log!$B$2:$B$1001,A183,Log!$C$2:$C$1001,"Adjustment",Log!$A$2:$A$1001,"&gt;"&amp;AA183)))</f>
        <v/>
      </c>
      <c r="D183" s="32">
        <f>IF(A183="","",IF(X183&lt;&gt;"",X183,W183))</f>
        <v/>
      </c>
      <c r="E183" s="33">
        <f>IF(OR(A183="",N(O183)=0),"",C183/O183)</f>
        <v/>
      </c>
      <c r="F183" s="31">
        <f>IF(A183="","",MAX(0,N(T183)-SUMIFS(Log!$D$2:$D$1001,Log!$B$2:$B$1001,A183,Log!$C$2:$C$1001,"Received",Log!$A$2:$A$1001,"&gt;="&amp;N(U183))))</f>
        <v/>
      </c>
      <c r="G183" s="24" t="n"/>
      <c r="H183" s="24" t="n"/>
      <c r="I183" s="24" t="n"/>
      <c r="J183" s="24" t="n"/>
      <c r="K183" s="24" t="n"/>
      <c r="L183" s="34" t="n"/>
      <c r="M183" s="24" t="n"/>
      <c r="N183" s="24" t="n"/>
      <c r="O183" s="35" t="n"/>
      <c r="P183" s="25" t="n"/>
      <c r="Q183" s="36">
        <f>IF(A183="","",IF(P183&lt;&gt;"",P183,IFERROR(IF(N(INDEX(Suppliers!$E$5:$E$24,MATCH(H183,Suppliers!$B$5:$B$24,0)))&gt;0,INDEX(Suppliers!$E$5:$E$24,MATCH(H183,Suppliers!$B$5:$B$24,0)),5),5)))</f>
        <v/>
      </c>
      <c r="R183" s="35" t="n"/>
      <c r="S183" s="37" t="n"/>
      <c r="T183" s="25" t="n"/>
      <c r="U183" s="37" t="n"/>
      <c r="V183" s="37" t="n"/>
      <c r="W183" s="36">
        <f>IF(A183="","",ROUNDUP(N(O183)*(Q183/7+Settings!$C$5),0))</f>
        <v/>
      </c>
      <c r="X183" s="25" t="n"/>
      <c r="Y183" s="25" t="n"/>
      <c r="Z183" s="32">
        <f>IF(A183="","",IF(Y183&lt;&gt;"",Y183,MAX(1,ROUNDUP(N(O183)*Settings!$C$7,0))))</f>
        <v/>
      </c>
      <c r="AA183" s="38">
        <f>IF(A183="","",MAX(N(S183),_xlfn.MAXIFS(Log!$A$2:$A$1001,Log!$B$2:$B$1001,A183,Log!$C$2:$C$1001,"Count")))</f>
        <v/>
      </c>
      <c r="AB183" s="39">
        <f>IF(A183="","",Z183*N(L183))</f>
        <v/>
      </c>
      <c r="AC183" s="40">
        <f>IF(A183="","",N(O183)*52*N(L183))</f>
        <v/>
      </c>
      <c r="AD183" s="39">
        <f>IF(A183="","",C183*N(L183))</f>
        <v/>
      </c>
      <c r="AE183" s="41">
        <f>IF(A183="",0,IF(AND(OR(B183="Order now",B183="Critical"),F183=0),1,0))</f>
        <v/>
      </c>
      <c r="AF183" s="41">
        <f>IF(AE183=1,IFERROR(MATCH(H183,Suppliers!$B$5:$B$24,0),99)*1000+ROW(),"")</f>
        <v/>
      </c>
      <c r="AG183" s="41">
        <f>IF(AF183="","",COUNTIF('Stock list'!$AF$2:$AF$301,"&lt;"&amp;AF183)+1)</f>
        <v/>
      </c>
      <c r="AH183" s="41">
        <f>IF(A183="",0,IF(OR(AA183=0,AND(B183="OK",OR(C183&lt;=D183+N(O183)*Settings!$C$6,Settings!$C$10-AA183&gt;Settings!$C$8*7))),1,0))</f>
        <v/>
      </c>
      <c r="AI183" s="41">
        <f>IF(AH183=0,"",IF(AA183=0,"Never counted",IF(C183&lt;=D183+N(O183)*Settings!$C$6,"Near the reorder point","Not counted for "&amp;INT((Settings!$C$10-AA183)/7)&amp;" weeks")))</f>
        <v/>
      </c>
      <c r="AJ183" s="41">
        <f>IF(AH183=1,IFERROR(MATCH(M183,Settings!$G$19:$G$38,0),99)*1000+ROW(),"")</f>
        <v/>
      </c>
      <c r="AK183" s="41">
        <f>IF(AJ183="","",COUNTIF('Stock list'!$AJ$2:$AJ$301,"&lt;"&amp;AJ183)+1)</f>
        <v/>
      </c>
      <c r="AL183" s="41">
        <f>IF(OR(A183="",N(AC183)=0),"",AC183+ROW()/1000000)</f>
        <v/>
      </c>
    </row>
    <row r="184">
      <c r="A184" s="24" t="n"/>
      <c r="B184" s="30">
        <f>IF(A184="","",IF(AA184=0,"No count",IF(AND(N(O184)&gt;0,C184/O184*7&lt;Q184),"Critical",IF(F184&gt;0,"On order",IF(AND(D184&gt;0,C184&lt;=D184),"Order now","OK")))))</f>
        <v/>
      </c>
      <c r="C184" s="31">
        <f>IF(A184="","",MAX(0,IF(_xlfn.MAXIFS(Log!$A$2:$A$1001,Log!$B$2:$B$1001,A184,Log!$C$2:$C$1001,"Count")&gt;N(S184),_xlfn.MAXIFS(Log!$D$2:$D$1001,Log!$B$2:$B$1001,A184,Log!$C$2:$C$1001,"Count",Log!$A$2:$A$1001,AA184),N(R184))+SUMIFS(Log!$D$2:$D$1001,Log!$B$2:$B$1001,A184,Log!$C$2:$C$1001,"Received",Log!$A$2:$A$1001,"&gt;"&amp;AA184)-SUMIFS(Log!$D$2:$D$1001,Log!$B$2:$B$1001,A184,Log!$C$2:$C$1001,"Used",Log!$A$2:$A$1001,"&gt;"&amp;AA184)+SUMIFS(Log!$D$2:$D$1001,Log!$B$2:$B$1001,A184,Log!$C$2:$C$1001,"Adjustment",Log!$A$2:$A$1001,"&gt;"&amp;AA184)))</f>
        <v/>
      </c>
      <c r="D184" s="32">
        <f>IF(A184="","",IF(X184&lt;&gt;"",X184,W184))</f>
        <v/>
      </c>
      <c r="E184" s="33">
        <f>IF(OR(A184="",N(O184)=0),"",C184/O184)</f>
        <v/>
      </c>
      <c r="F184" s="31">
        <f>IF(A184="","",MAX(0,N(T184)-SUMIFS(Log!$D$2:$D$1001,Log!$B$2:$B$1001,A184,Log!$C$2:$C$1001,"Received",Log!$A$2:$A$1001,"&gt;="&amp;N(U184))))</f>
        <v/>
      </c>
      <c r="G184" s="24" t="n"/>
      <c r="H184" s="24" t="n"/>
      <c r="I184" s="24" t="n"/>
      <c r="J184" s="24" t="n"/>
      <c r="K184" s="24" t="n"/>
      <c r="L184" s="34" t="n"/>
      <c r="M184" s="24" t="n"/>
      <c r="N184" s="24" t="n"/>
      <c r="O184" s="35" t="n"/>
      <c r="P184" s="25" t="n"/>
      <c r="Q184" s="36">
        <f>IF(A184="","",IF(P184&lt;&gt;"",P184,IFERROR(IF(N(INDEX(Suppliers!$E$5:$E$24,MATCH(H184,Suppliers!$B$5:$B$24,0)))&gt;0,INDEX(Suppliers!$E$5:$E$24,MATCH(H184,Suppliers!$B$5:$B$24,0)),5),5)))</f>
        <v/>
      </c>
      <c r="R184" s="35" t="n"/>
      <c r="S184" s="37" t="n"/>
      <c r="T184" s="25" t="n"/>
      <c r="U184" s="37" t="n"/>
      <c r="V184" s="37" t="n"/>
      <c r="W184" s="36">
        <f>IF(A184="","",ROUNDUP(N(O184)*(Q184/7+Settings!$C$5),0))</f>
        <v/>
      </c>
      <c r="X184" s="25" t="n"/>
      <c r="Y184" s="25" t="n"/>
      <c r="Z184" s="32">
        <f>IF(A184="","",IF(Y184&lt;&gt;"",Y184,MAX(1,ROUNDUP(N(O184)*Settings!$C$7,0))))</f>
        <v/>
      </c>
      <c r="AA184" s="38">
        <f>IF(A184="","",MAX(N(S184),_xlfn.MAXIFS(Log!$A$2:$A$1001,Log!$B$2:$B$1001,A184,Log!$C$2:$C$1001,"Count")))</f>
        <v/>
      </c>
      <c r="AB184" s="39">
        <f>IF(A184="","",Z184*N(L184))</f>
        <v/>
      </c>
      <c r="AC184" s="40">
        <f>IF(A184="","",N(O184)*52*N(L184))</f>
        <v/>
      </c>
      <c r="AD184" s="39">
        <f>IF(A184="","",C184*N(L184))</f>
        <v/>
      </c>
      <c r="AE184" s="41">
        <f>IF(A184="",0,IF(AND(OR(B184="Order now",B184="Critical"),F184=0),1,0))</f>
        <v/>
      </c>
      <c r="AF184" s="41">
        <f>IF(AE184=1,IFERROR(MATCH(H184,Suppliers!$B$5:$B$24,0),99)*1000+ROW(),"")</f>
        <v/>
      </c>
      <c r="AG184" s="41">
        <f>IF(AF184="","",COUNTIF('Stock list'!$AF$2:$AF$301,"&lt;"&amp;AF184)+1)</f>
        <v/>
      </c>
      <c r="AH184" s="41">
        <f>IF(A184="",0,IF(OR(AA184=0,AND(B184="OK",OR(C184&lt;=D184+N(O184)*Settings!$C$6,Settings!$C$10-AA184&gt;Settings!$C$8*7))),1,0))</f>
        <v/>
      </c>
      <c r="AI184" s="41">
        <f>IF(AH184=0,"",IF(AA184=0,"Never counted",IF(C184&lt;=D184+N(O184)*Settings!$C$6,"Near the reorder point","Not counted for "&amp;INT((Settings!$C$10-AA184)/7)&amp;" weeks")))</f>
        <v/>
      </c>
      <c r="AJ184" s="41">
        <f>IF(AH184=1,IFERROR(MATCH(M184,Settings!$G$19:$G$38,0),99)*1000+ROW(),"")</f>
        <v/>
      </c>
      <c r="AK184" s="41">
        <f>IF(AJ184="","",COUNTIF('Stock list'!$AJ$2:$AJ$301,"&lt;"&amp;AJ184)+1)</f>
        <v/>
      </c>
      <c r="AL184" s="41">
        <f>IF(OR(A184="",N(AC184)=0),"",AC184+ROW()/1000000)</f>
        <v/>
      </c>
    </row>
    <row r="185">
      <c r="A185" s="24" t="n"/>
      <c r="B185" s="30">
        <f>IF(A185="","",IF(AA185=0,"No count",IF(AND(N(O185)&gt;0,C185/O185*7&lt;Q185),"Critical",IF(F185&gt;0,"On order",IF(AND(D185&gt;0,C185&lt;=D185),"Order now","OK")))))</f>
        <v/>
      </c>
      <c r="C185" s="31">
        <f>IF(A185="","",MAX(0,IF(_xlfn.MAXIFS(Log!$A$2:$A$1001,Log!$B$2:$B$1001,A185,Log!$C$2:$C$1001,"Count")&gt;N(S185),_xlfn.MAXIFS(Log!$D$2:$D$1001,Log!$B$2:$B$1001,A185,Log!$C$2:$C$1001,"Count",Log!$A$2:$A$1001,AA185),N(R185))+SUMIFS(Log!$D$2:$D$1001,Log!$B$2:$B$1001,A185,Log!$C$2:$C$1001,"Received",Log!$A$2:$A$1001,"&gt;"&amp;AA185)-SUMIFS(Log!$D$2:$D$1001,Log!$B$2:$B$1001,A185,Log!$C$2:$C$1001,"Used",Log!$A$2:$A$1001,"&gt;"&amp;AA185)+SUMIFS(Log!$D$2:$D$1001,Log!$B$2:$B$1001,A185,Log!$C$2:$C$1001,"Adjustment",Log!$A$2:$A$1001,"&gt;"&amp;AA185)))</f>
        <v/>
      </c>
      <c r="D185" s="32">
        <f>IF(A185="","",IF(X185&lt;&gt;"",X185,W185))</f>
        <v/>
      </c>
      <c r="E185" s="33">
        <f>IF(OR(A185="",N(O185)=0),"",C185/O185)</f>
        <v/>
      </c>
      <c r="F185" s="31">
        <f>IF(A185="","",MAX(0,N(T185)-SUMIFS(Log!$D$2:$D$1001,Log!$B$2:$B$1001,A185,Log!$C$2:$C$1001,"Received",Log!$A$2:$A$1001,"&gt;="&amp;N(U185))))</f>
        <v/>
      </c>
      <c r="G185" s="24" t="n"/>
      <c r="H185" s="24" t="n"/>
      <c r="I185" s="24" t="n"/>
      <c r="J185" s="24" t="n"/>
      <c r="K185" s="24" t="n"/>
      <c r="L185" s="34" t="n"/>
      <c r="M185" s="24" t="n"/>
      <c r="N185" s="24" t="n"/>
      <c r="O185" s="35" t="n"/>
      <c r="P185" s="25" t="n"/>
      <c r="Q185" s="36">
        <f>IF(A185="","",IF(P185&lt;&gt;"",P185,IFERROR(IF(N(INDEX(Suppliers!$E$5:$E$24,MATCH(H185,Suppliers!$B$5:$B$24,0)))&gt;0,INDEX(Suppliers!$E$5:$E$24,MATCH(H185,Suppliers!$B$5:$B$24,0)),5),5)))</f>
        <v/>
      </c>
      <c r="R185" s="35" t="n"/>
      <c r="S185" s="37" t="n"/>
      <c r="T185" s="25" t="n"/>
      <c r="U185" s="37" t="n"/>
      <c r="V185" s="37" t="n"/>
      <c r="W185" s="36">
        <f>IF(A185="","",ROUNDUP(N(O185)*(Q185/7+Settings!$C$5),0))</f>
        <v/>
      </c>
      <c r="X185" s="25" t="n"/>
      <c r="Y185" s="25" t="n"/>
      <c r="Z185" s="32">
        <f>IF(A185="","",IF(Y185&lt;&gt;"",Y185,MAX(1,ROUNDUP(N(O185)*Settings!$C$7,0))))</f>
        <v/>
      </c>
      <c r="AA185" s="38">
        <f>IF(A185="","",MAX(N(S185),_xlfn.MAXIFS(Log!$A$2:$A$1001,Log!$B$2:$B$1001,A185,Log!$C$2:$C$1001,"Count")))</f>
        <v/>
      </c>
      <c r="AB185" s="39">
        <f>IF(A185="","",Z185*N(L185))</f>
        <v/>
      </c>
      <c r="AC185" s="40">
        <f>IF(A185="","",N(O185)*52*N(L185))</f>
        <v/>
      </c>
      <c r="AD185" s="39">
        <f>IF(A185="","",C185*N(L185))</f>
        <v/>
      </c>
      <c r="AE185" s="41">
        <f>IF(A185="",0,IF(AND(OR(B185="Order now",B185="Critical"),F185=0),1,0))</f>
        <v/>
      </c>
      <c r="AF185" s="41">
        <f>IF(AE185=1,IFERROR(MATCH(H185,Suppliers!$B$5:$B$24,0),99)*1000+ROW(),"")</f>
        <v/>
      </c>
      <c r="AG185" s="41">
        <f>IF(AF185="","",COUNTIF('Stock list'!$AF$2:$AF$301,"&lt;"&amp;AF185)+1)</f>
        <v/>
      </c>
      <c r="AH185" s="41">
        <f>IF(A185="",0,IF(OR(AA185=0,AND(B185="OK",OR(C185&lt;=D185+N(O185)*Settings!$C$6,Settings!$C$10-AA185&gt;Settings!$C$8*7))),1,0))</f>
        <v/>
      </c>
      <c r="AI185" s="41">
        <f>IF(AH185=0,"",IF(AA185=0,"Never counted",IF(C185&lt;=D185+N(O185)*Settings!$C$6,"Near the reorder point","Not counted for "&amp;INT((Settings!$C$10-AA185)/7)&amp;" weeks")))</f>
        <v/>
      </c>
      <c r="AJ185" s="41">
        <f>IF(AH185=1,IFERROR(MATCH(M185,Settings!$G$19:$G$38,0),99)*1000+ROW(),"")</f>
        <v/>
      </c>
      <c r="AK185" s="41">
        <f>IF(AJ185="","",COUNTIF('Stock list'!$AJ$2:$AJ$301,"&lt;"&amp;AJ185)+1)</f>
        <v/>
      </c>
      <c r="AL185" s="41">
        <f>IF(OR(A185="",N(AC185)=0),"",AC185+ROW()/1000000)</f>
        <v/>
      </c>
    </row>
    <row r="186">
      <c r="A186" s="24" t="n"/>
      <c r="B186" s="30">
        <f>IF(A186="","",IF(AA186=0,"No count",IF(AND(N(O186)&gt;0,C186/O186*7&lt;Q186),"Critical",IF(F186&gt;0,"On order",IF(AND(D186&gt;0,C186&lt;=D186),"Order now","OK")))))</f>
        <v/>
      </c>
      <c r="C186" s="31">
        <f>IF(A186="","",MAX(0,IF(_xlfn.MAXIFS(Log!$A$2:$A$1001,Log!$B$2:$B$1001,A186,Log!$C$2:$C$1001,"Count")&gt;N(S186),_xlfn.MAXIFS(Log!$D$2:$D$1001,Log!$B$2:$B$1001,A186,Log!$C$2:$C$1001,"Count",Log!$A$2:$A$1001,AA186),N(R186))+SUMIFS(Log!$D$2:$D$1001,Log!$B$2:$B$1001,A186,Log!$C$2:$C$1001,"Received",Log!$A$2:$A$1001,"&gt;"&amp;AA186)-SUMIFS(Log!$D$2:$D$1001,Log!$B$2:$B$1001,A186,Log!$C$2:$C$1001,"Used",Log!$A$2:$A$1001,"&gt;"&amp;AA186)+SUMIFS(Log!$D$2:$D$1001,Log!$B$2:$B$1001,A186,Log!$C$2:$C$1001,"Adjustment",Log!$A$2:$A$1001,"&gt;"&amp;AA186)))</f>
        <v/>
      </c>
      <c r="D186" s="32">
        <f>IF(A186="","",IF(X186&lt;&gt;"",X186,W186))</f>
        <v/>
      </c>
      <c r="E186" s="33">
        <f>IF(OR(A186="",N(O186)=0),"",C186/O186)</f>
        <v/>
      </c>
      <c r="F186" s="31">
        <f>IF(A186="","",MAX(0,N(T186)-SUMIFS(Log!$D$2:$D$1001,Log!$B$2:$B$1001,A186,Log!$C$2:$C$1001,"Received",Log!$A$2:$A$1001,"&gt;="&amp;N(U186))))</f>
        <v/>
      </c>
      <c r="G186" s="24" t="n"/>
      <c r="H186" s="24" t="n"/>
      <c r="I186" s="24" t="n"/>
      <c r="J186" s="24" t="n"/>
      <c r="K186" s="24" t="n"/>
      <c r="L186" s="34" t="n"/>
      <c r="M186" s="24" t="n"/>
      <c r="N186" s="24" t="n"/>
      <c r="O186" s="35" t="n"/>
      <c r="P186" s="25" t="n"/>
      <c r="Q186" s="36">
        <f>IF(A186="","",IF(P186&lt;&gt;"",P186,IFERROR(IF(N(INDEX(Suppliers!$E$5:$E$24,MATCH(H186,Suppliers!$B$5:$B$24,0)))&gt;0,INDEX(Suppliers!$E$5:$E$24,MATCH(H186,Suppliers!$B$5:$B$24,0)),5),5)))</f>
        <v/>
      </c>
      <c r="R186" s="35" t="n"/>
      <c r="S186" s="37" t="n"/>
      <c r="T186" s="25" t="n"/>
      <c r="U186" s="37" t="n"/>
      <c r="V186" s="37" t="n"/>
      <c r="W186" s="36">
        <f>IF(A186="","",ROUNDUP(N(O186)*(Q186/7+Settings!$C$5),0))</f>
        <v/>
      </c>
      <c r="X186" s="25" t="n"/>
      <c r="Y186" s="25" t="n"/>
      <c r="Z186" s="32">
        <f>IF(A186="","",IF(Y186&lt;&gt;"",Y186,MAX(1,ROUNDUP(N(O186)*Settings!$C$7,0))))</f>
        <v/>
      </c>
      <c r="AA186" s="38">
        <f>IF(A186="","",MAX(N(S186),_xlfn.MAXIFS(Log!$A$2:$A$1001,Log!$B$2:$B$1001,A186,Log!$C$2:$C$1001,"Count")))</f>
        <v/>
      </c>
      <c r="AB186" s="39">
        <f>IF(A186="","",Z186*N(L186))</f>
        <v/>
      </c>
      <c r="AC186" s="40">
        <f>IF(A186="","",N(O186)*52*N(L186))</f>
        <v/>
      </c>
      <c r="AD186" s="39">
        <f>IF(A186="","",C186*N(L186))</f>
        <v/>
      </c>
      <c r="AE186" s="41">
        <f>IF(A186="",0,IF(AND(OR(B186="Order now",B186="Critical"),F186=0),1,0))</f>
        <v/>
      </c>
      <c r="AF186" s="41">
        <f>IF(AE186=1,IFERROR(MATCH(H186,Suppliers!$B$5:$B$24,0),99)*1000+ROW(),"")</f>
        <v/>
      </c>
      <c r="AG186" s="41">
        <f>IF(AF186="","",COUNTIF('Stock list'!$AF$2:$AF$301,"&lt;"&amp;AF186)+1)</f>
        <v/>
      </c>
      <c r="AH186" s="41">
        <f>IF(A186="",0,IF(OR(AA186=0,AND(B186="OK",OR(C186&lt;=D186+N(O186)*Settings!$C$6,Settings!$C$10-AA186&gt;Settings!$C$8*7))),1,0))</f>
        <v/>
      </c>
      <c r="AI186" s="41">
        <f>IF(AH186=0,"",IF(AA186=0,"Never counted",IF(C186&lt;=D186+N(O186)*Settings!$C$6,"Near the reorder point","Not counted for "&amp;INT((Settings!$C$10-AA186)/7)&amp;" weeks")))</f>
        <v/>
      </c>
      <c r="AJ186" s="41">
        <f>IF(AH186=1,IFERROR(MATCH(M186,Settings!$G$19:$G$38,0),99)*1000+ROW(),"")</f>
        <v/>
      </c>
      <c r="AK186" s="41">
        <f>IF(AJ186="","",COUNTIF('Stock list'!$AJ$2:$AJ$301,"&lt;"&amp;AJ186)+1)</f>
        <v/>
      </c>
      <c r="AL186" s="41">
        <f>IF(OR(A186="",N(AC186)=0),"",AC186+ROW()/1000000)</f>
        <v/>
      </c>
    </row>
    <row r="187">
      <c r="A187" s="24" t="n"/>
      <c r="B187" s="30">
        <f>IF(A187="","",IF(AA187=0,"No count",IF(AND(N(O187)&gt;0,C187/O187*7&lt;Q187),"Critical",IF(F187&gt;0,"On order",IF(AND(D187&gt;0,C187&lt;=D187),"Order now","OK")))))</f>
        <v/>
      </c>
      <c r="C187" s="31">
        <f>IF(A187="","",MAX(0,IF(_xlfn.MAXIFS(Log!$A$2:$A$1001,Log!$B$2:$B$1001,A187,Log!$C$2:$C$1001,"Count")&gt;N(S187),_xlfn.MAXIFS(Log!$D$2:$D$1001,Log!$B$2:$B$1001,A187,Log!$C$2:$C$1001,"Count",Log!$A$2:$A$1001,AA187),N(R187))+SUMIFS(Log!$D$2:$D$1001,Log!$B$2:$B$1001,A187,Log!$C$2:$C$1001,"Received",Log!$A$2:$A$1001,"&gt;"&amp;AA187)-SUMIFS(Log!$D$2:$D$1001,Log!$B$2:$B$1001,A187,Log!$C$2:$C$1001,"Used",Log!$A$2:$A$1001,"&gt;"&amp;AA187)+SUMIFS(Log!$D$2:$D$1001,Log!$B$2:$B$1001,A187,Log!$C$2:$C$1001,"Adjustment",Log!$A$2:$A$1001,"&gt;"&amp;AA187)))</f>
        <v/>
      </c>
      <c r="D187" s="32">
        <f>IF(A187="","",IF(X187&lt;&gt;"",X187,W187))</f>
        <v/>
      </c>
      <c r="E187" s="33">
        <f>IF(OR(A187="",N(O187)=0),"",C187/O187)</f>
        <v/>
      </c>
      <c r="F187" s="31">
        <f>IF(A187="","",MAX(0,N(T187)-SUMIFS(Log!$D$2:$D$1001,Log!$B$2:$B$1001,A187,Log!$C$2:$C$1001,"Received",Log!$A$2:$A$1001,"&gt;="&amp;N(U187))))</f>
        <v/>
      </c>
      <c r="G187" s="24" t="n"/>
      <c r="H187" s="24" t="n"/>
      <c r="I187" s="24" t="n"/>
      <c r="J187" s="24" t="n"/>
      <c r="K187" s="24" t="n"/>
      <c r="L187" s="34" t="n"/>
      <c r="M187" s="24" t="n"/>
      <c r="N187" s="24" t="n"/>
      <c r="O187" s="35" t="n"/>
      <c r="P187" s="25" t="n"/>
      <c r="Q187" s="36">
        <f>IF(A187="","",IF(P187&lt;&gt;"",P187,IFERROR(IF(N(INDEX(Suppliers!$E$5:$E$24,MATCH(H187,Suppliers!$B$5:$B$24,0)))&gt;0,INDEX(Suppliers!$E$5:$E$24,MATCH(H187,Suppliers!$B$5:$B$24,0)),5),5)))</f>
        <v/>
      </c>
      <c r="R187" s="35" t="n"/>
      <c r="S187" s="37" t="n"/>
      <c r="T187" s="25" t="n"/>
      <c r="U187" s="37" t="n"/>
      <c r="V187" s="37" t="n"/>
      <c r="W187" s="36">
        <f>IF(A187="","",ROUNDUP(N(O187)*(Q187/7+Settings!$C$5),0))</f>
        <v/>
      </c>
      <c r="X187" s="25" t="n"/>
      <c r="Y187" s="25" t="n"/>
      <c r="Z187" s="32">
        <f>IF(A187="","",IF(Y187&lt;&gt;"",Y187,MAX(1,ROUNDUP(N(O187)*Settings!$C$7,0))))</f>
        <v/>
      </c>
      <c r="AA187" s="38">
        <f>IF(A187="","",MAX(N(S187),_xlfn.MAXIFS(Log!$A$2:$A$1001,Log!$B$2:$B$1001,A187,Log!$C$2:$C$1001,"Count")))</f>
        <v/>
      </c>
      <c r="AB187" s="39">
        <f>IF(A187="","",Z187*N(L187))</f>
        <v/>
      </c>
      <c r="AC187" s="40">
        <f>IF(A187="","",N(O187)*52*N(L187))</f>
        <v/>
      </c>
      <c r="AD187" s="39">
        <f>IF(A187="","",C187*N(L187))</f>
        <v/>
      </c>
      <c r="AE187" s="41">
        <f>IF(A187="",0,IF(AND(OR(B187="Order now",B187="Critical"),F187=0),1,0))</f>
        <v/>
      </c>
      <c r="AF187" s="41">
        <f>IF(AE187=1,IFERROR(MATCH(H187,Suppliers!$B$5:$B$24,0),99)*1000+ROW(),"")</f>
        <v/>
      </c>
      <c r="AG187" s="41">
        <f>IF(AF187="","",COUNTIF('Stock list'!$AF$2:$AF$301,"&lt;"&amp;AF187)+1)</f>
        <v/>
      </c>
      <c r="AH187" s="41">
        <f>IF(A187="",0,IF(OR(AA187=0,AND(B187="OK",OR(C187&lt;=D187+N(O187)*Settings!$C$6,Settings!$C$10-AA187&gt;Settings!$C$8*7))),1,0))</f>
        <v/>
      </c>
      <c r="AI187" s="41">
        <f>IF(AH187=0,"",IF(AA187=0,"Never counted",IF(C187&lt;=D187+N(O187)*Settings!$C$6,"Near the reorder point","Not counted for "&amp;INT((Settings!$C$10-AA187)/7)&amp;" weeks")))</f>
        <v/>
      </c>
      <c r="AJ187" s="41">
        <f>IF(AH187=1,IFERROR(MATCH(M187,Settings!$G$19:$G$38,0),99)*1000+ROW(),"")</f>
        <v/>
      </c>
      <c r="AK187" s="41">
        <f>IF(AJ187="","",COUNTIF('Stock list'!$AJ$2:$AJ$301,"&lt;"&amp;AJ187)+1)</f>
        <v/>
      </c>
      <c r="AL187" s="41">
        <f>IF(OR(A187="",N(AC187)=0),"",AC187+ROW()/1000000)</f>
        <v/>
      </c>
    </row>
    <row r="188">
      <c r="A188" s="24" t="n"/>
      <c r="B188" s="30">
        <f>IF(A188="","",IF(AA188=0,"No count",IF(AND(N(O188)&gt;0,C188/O188*7&lt;Q188),"Critical",IF(F188&gt;0,"On order",IF(AND(D188&gt;0,C188&lt;=D188),"Order now","OK")))))</f>
        <v/>
      </c>
      <c r="C188" s="31">
        <f>IF(A188="","",MAX(0,IF(_xlfn.MAXIFS(Log!$A$2:$A$1001,Log!$B$2:$B$1001,A188,Log!$C$2:$C$1001,"Count")&gt;N(S188),_xlfn.MAXIFS(Log!$D$2:$D$1001,Log!$B$2:$B$1001,A188,Log!$C$2:$C$1001,"Count",Log!$A$2:$A$1001,AA188),N(R188))+SUMIFS(Log!$D$2:$D$1001,Log!$B$2:$B$1001,A188,Log!$C$2:$C$1001,"Received",Log!$A$2:$A$1001,"&gt;"&amp;AA188)-SUMIFS(Log!$D$2:$D$1001,Log!$B$2:$B$1001,A188,Log!$C$2:$C$1001,"Used",Log!$A$2:$A$1001,"&gt;"&amp;AA188)+SUMIFS(Log!$D$2:$D$1001,Log!$B$2:$B$1001,A188,Log!$C$2:$C$1001,"Adjustment",Log!$A$2:$A$1001,"&gt;"&amp;AA188)))</f>
        <v/>
      </c>
      <c r="D188" s="32">
        <f>IF(A188="","",IF(X188&lt;&gt;"",X188,W188))</f>
        <v/>
      </c>
      <c r="E188" s="33">
        <f>IF(OR(A188="",N(O188)=0),"",C188/O188)</f>
        <v/>
      </c>
      <c r="F188" s="31">
        <f>IF(A188="","",MAX(0,N(T188)-SUMIFS(Log!$D$2:$D$1001,Log!$B$2:$B$1001,A188,Log!$C$2:$C$1001,"Received",Log!$A$2:$A$1001,"&gt;="&amp;N(U188))))</f>
        <v/>
      </c>
      <c r="G188" s="24" t="n"/>
      <c r="H188" s="24" t="n"/>
      <c r="I188" s="24" t="n"/>
      <c r="J188" s="24" t="n"/>
      <c r="K188" s="24" t="n"/>
      <c r="L188" s="34" t="n"/>
      <c r="M188" s="24" t="n"/>
      <c r="N188" s="24" t="n"/>
      <c r="O188" s="35" t="n"/>
      <c r="P188" s="25" t="n"/>
      <c r="Q188" s="36">
        <f>IF(A188="","",IF(P188&lt;&gt;"",P188,IFERROR(IF(N(INDEX(Suppliers!$E$5:$E$24,MATCH(H188,Suppliers!$B$5:$B$24,0)))&gt;0,INDEX(Suppliers!$E$5:$E$24,MATCH(H188,Suppliers!$B$5:$B$24,0)),5),5)))</f>
        <v/>
      </c>
      <c r="R188" s="35" t="n"/>
      <c r="S188" s="37" t="n"/>
      <c r="T188" s="25" t="n"/>
      <c r="U188" s="37" t="n"/>
      <c r="V188" s="37" t="n"/>
      <c r="W188" s="36">
        <f>IF(A188="","",ROUNDUP(N(O188)*(Q188/7+Settings!$C$5),0))</f>
        <v/>
      </c>
      <c r="X188" s="25" t="n"/>
      <c r="Y188" s="25" t="n"/>
      <c r="Z188" s="32">
        <f>IF(A188="","",IF(Y188&lt;&gt;"",Y188,MAX(1,ROUNDUP(N(O188)*Settings!$C$7,0))))</f>
        <v/>
      </c>
      <c r="AA188" s="38">
        <f>IF(A188="","",MAX(N(S188),_xlfn.MAXIFS(Log!$A$2:$A$1001,Log!$B$2:$B$1001,A188,Log!$C$2:$C$1001,"Count")))</f>
        <v/>
      </c>
      <c r="AB188" s="39">
        <f>IF(A188="","",Z188*N(L188))</f>
        <v/>
      </c>
      <c r="AC188" s="40">
        <f>IF(A188="","",N(O188)*52*N(L188))</f>
        <v/>
      </c>
      <c r="AD188" s="39">
        <f>IF(A188="","",C188*N(L188))</f>
        <v/>
      </c>
      <c r="AE188" s="41">
        <f>IF(A188="",0,IF(AND(OR(B188="Order now",B188="Critical"),F188=0),1,0))</f>
        <v/>
      </c>
      <c r="AF188" s="41">
        <f>IF(AE188=1,IFERROR(MATCH(H188,Suppliers!$B$5:$B$24,0),99)*1000+ROW(),"")</f>
        <v/>
      </c>
      <c r="AG188" s="41">
        <f>IF(AF188="","",COUNTIF('Stock list'!$AF$2:$AF$301,"&lt;"&amp;AF188)+1)</f>
        <v/>
      </c>
      <c r="AH188" s="41">
        <f>IF(A188="",0,IF(OR(AA188=0,AND(B188="OK",OR(C188&lt;=D188+N(O188)*Settings!$C$6,Settings!$C$10-AA188&gt;Settings!$C$8*7))),1,0))</f>
        <v/>
      </c>
      <c r="AI188" s="41">
        <f>IF(AH188=0,"",IF(AA188=0,"Never counted",IF(C188&lt;=D188+N(O188)*Settings!$C$6,"Near the reorder point","Not counted for "&amp;INT((Settings!$C$10-AA188)/7)&amp;" weeks")))</f>
        <v/>
      </c>
      <c r="AJ188" s="41">
        <f>IF(AH188=1,IFERROR(MATCH(M188,Settings!$G$19:$G$38,0),99)*1000+ROW(),"")</f>
        <v/>
      </c>
      <c r="AK188" s="41">
        <f>IF(AJ188="","",COUNTIF('Stock list'!$AJ$2:$AJ$301,"&lt;"&amp;AJ188)+1)</f>
        <v/>
      </c>
      <c r="AL188" s="41">
        <f>IF(OR(A188="",N(AC188)=0),"",AC188+ROW()/1000000)</f>
        <v/>
      </c>
    </row>
    <row r="189">
      <c r="A189" s="24" t="n"/>
      <c r="B189" s="30">
        <f>IF(A189="","",IF(AA189=0,"No count",IF(AND(N(O189)&gt;0,C189/O189*7&lt;Q189),"Critical",IF(F189&gt;0,"On order",IF(AND(D189&gt;0,C189&lt;=D189),"Order now","OK")))))</f>
        <v/>
      </c>
      <c r="C189" s="31">
        <f>IF(A189="","",MAX(0,IF(_xlfn.MAXIFS(Log!$A$2:$A$1001,Log!$B$2:$B$1001,A189,Log!$C$2:$C$1001,"Count")&gt;N(S189),_xlfn.MAXIFS(Log!$D$2:$D$1001,Log!$B$2:$B$1001,A189,Log!$C$2:$C$1001,"Count",Log!$A$2:$A$1001,AA189),N(R189))+SUMIFS(Log!$D$2:$D$1001,Log!$B$2:$B$1001,A189,Log!$C$2:$C$1001,"Received",Log!$A$2:$A$1001,"&gt;"&amp;AA189)-SUMIFS(Log!$D$2:$D$1001,Log!$B$2:$B$1001,A189,Log!$C$2:$C$1001,"Used",Log!$A$2:$A$1001,"&gt;"&amp;AA189)+SUMIFS(Log!$D$2:$D$1001,Log!$B$2:$B$1001,A189,Log!$C$2:$C$1001,"Adjustment",Log!$A$2:$A$1001,"&gt;"&amp;AA189)))</f>
        <v/>
      </c>
      <c r="D189" s="32">
        <f>IF(A189="","",IF(X189&lt;&gt;"",X189,W189))</f>
        <v/>
      </c>
      <c r="E189" s="33">
        <f>IF(OR(A189="",N(O189)=0),"",C189/O189)</f>
        <v/>
      </c>
      <c r="F189" s="31">
        <f>IF(A189="","",MAX(0,N(T189)-SUMIFS(Log!$D$2:$D$1001,Log!$B$2:$B$1001,A189,Log!$C$2:$C$1001,"Received",Log!$A$2:$A$1001,"&gt;="&amp;N(U189))))</f>
        <v/>
      </c>
      <c r="G189" s="24" t="n"/>
      <c r="H189" s="24" t="n"/>
      <c r="I189" s="24" t="n"/>
      <c r="J189" s="24" t="n"/>
      <c r="K189" s="24" t="n"/>
      <c r="L189" s="34" t="n"/>
      <c r="M189" s="24" t="n"/>
      <c r="N189" s="24" t="n"/>
      <c r="O189" s="35" t="n"/>
      <c r="P189" s="25" t="n"/>
      <c r="Q189" s="36">
        <f>IF(A189="","",IF(P189&lt;&gt;"",P189,IFERROR(IF(N(INDEX(Suppliers!$E$5:$E$24,MATCH(H189,Suppliers!$B$5:$B$24,0)))&gt;0,INDEX(Suppliers!$E$5:$E$24,MATCH(H189,Suppliers!$B$5:$B$24,0)),5),5)))</f>
        <v/>
      </c>
      <c r="R189" s="35" t="n"/>
      <c r="S189" s="37" t="n"/>
      <c r="T189" s="25" t="n"/>
      <c r="U189" s="37" t="n"/>
      <c r="V189" s="37" t="n"/>
      <c r="W189" s="36">
        <f>IF(A189="","",ROUNDUP(N(O189)*(Q189/7+Settings!$C$5),0))</f>
        <v/>
      </c>
      <c r="X189" s="25" t="n"/>
      <c r="Y189" s="25" t="n"/>
      <c r="Z189" s="32">
        <f>IF(A189="","",IF(Y189&lt;&gt;"",Y189,MAX(1,ROUNDUP(N(O189)*Settings!$C$7,0))))</f>
        <v/>
      </c>
      <c r="AA189" s="38">
        <f>IF(A189="","",MAX(N(S189),_xlfn.MAXIFS(Log!$A$2:$A$1001,Log!$B$2:$B$1001,A189,Log!$C$2:$C$1001,"Count")))</f>
        <v/>
      </c>
      <c r="AB189" s="39">
        <f>IF(A189="","",Z189*N(L189))</f>
        <v/>
      </c>
      <c r="AC189" s="40">
        <f>IF(A189="","",N(O189)*52*N(L189))</f>
        <v/>
      </c>
      <c r="AD189" s="39">
        <f>IF(A189="","",C189*N(L189))</f>
        <v/>
      </c>
      <c r="AE189" s="41">
        <f>IF(A189="",0,IF(AND(OR(B189="Order now",B189="Critical"),F189=0),1,0))</f>
        <v/>
      </c>
      <c r="AF189" s="41">
        <f>IF(AE189=1,IFERROR(MATCH(H189,Suppliers!$B$5:$B$24,0),99)*1000+ROW(),"")</f>
        <v/>
      </c>
      <c r="AG189" s="41">
        <f>IF(AF189="","",COUNTIF('Stock list'!$AF$2:$AF$301,"&lt;"&amp;AF189)+1)</f>
        <v/>
      </c>
      <c r="AH189" s="41">
        <f>IF(A189="",0,IF(OR(AA189=0,AND(B189="OK",OR(C189&lt;=D189+N(O189)*Settings!$C$6,Settings!$C$10-AA189&gt;Settings!$C$8*7))),1,0))</f>
        <v/>
      </c>
      <c r="AI189" s="41">
        <f>IF(AH189=0,"",IF(AA189=0,"Never counted",IF(C189&lt;=D189+N(O189)*Settings!$C$6,"Near the reorder point","Not counted for "&amp;INT((Settings!$C$10-AA189)/7)&amp;" weeks")))</f>
        <v/>
      </c>
      <c r="AJ189" s="41">
        <f>IF(AH189=1,IFERROR(MATCH(M189,Settings!$G$19:$G$38,0),99)*1000+ROW(),"")</f>
        <v/>
      </c>
      <c r="AK189" s="41">
        <f>IF(AJ189="","",COUNTIF('Stock list'!$AJ$2:$AJ$301,"&lt;"&amp;AJ189)+1)</f>
        <v/>
      </c>
      <c r="AL189" s="41">
        <f>IF(OR(A189="",N(AC189)=0),"",AC189+ROW()/1000000)</f>
        <v/>
      </c>
    </row>
    <row r="190">
      <c r="A190" s="24" t="n"/>
      <c r="B190" s="30">
        <f>IF(A190="","",IF(AA190=0,"No count",IF(AND(N(O190)&gt;0,C190/O190*7&lt;Q190),"Critical",IF(F190&gt;0,"On order",IF(AND(D190&gt;0,C190&lt;=D190),"Order now","OK")))))</f>
        <v/>
      </c>
      <c r="C190" s="31">
        <f>IF(A190="","",MAX(0,IF(_xlfn.MAXIFS(Log!$A$2:$A$1001,Log!$B$2:$B$1001,A190,Log!$C$2:$C$1001,"Count")&gt;N(S190),_xlfn.MAXIFS(Log!$D$2:$D$1001,Log!$B$2:$B$1001,A190,Log!$C$2:$C$1001,"Count",Log!$A$2:$A$1001,AA190),N(R190))+SUMIFS(Log!$D$2:$D$1001,Log!$B$2:$B$1001,A190,Log!$C$2:$C$1001,"Received",Log!$A$2:$A$1001,"&gt;"&amp;AA190)-SUMIFS(Log!$D$2:$D$1001,Log!$B$2:$B$1001,A190,Log!$C$2:$C$1001,"Used",Log!$A$2:$A$1001,"&gt;"&amp;AA190)+SUMIFS(Log!$D$2:$D$1001,Log!$B$2:$B$1001,A190,Log!$C$2:$C$1001,"Adjustment",Log!$A$2:$A$1001,"&gt;"&amp;AA190)))</f>
        <v/>
      </c>
      <c r="D190" s="32">
        <f>IF(A190="","",IF(X190&lt;&gt;"",X190,W190))</f>
        <v/>
      </c>
      <c r="E190" s="33">
        <f>IF(OR(A190="",N(O190)=0),"",C190/O190)</f>
        <v/>
      </c>
      <c r="F190" s="31">
        <f>IF(A190="","",MAX(0,N(T190)-SUMIFS(Log!$D$2:$D$1001,Log!$B$2:$B$1001,A190,Log!$C$2:$C$1001,"Received",Log!$A$2:$A$1001,"&gt;="&amp;N(U190))))</f>
        <v/>
      </c>
      <c r="G190" s="24" t="n"/>
      <c r="H190" s="24" t="n"/>
      <c r="I190" s="24" t="n"/>
      <c r="J190" s="24" t="n"/>
      <c r="K190" s="24" t="n"/>
      <c r="L190" s="34" t="n"/>
      <c r="M190" s="24" t="n"/>
      <c r="N190" s="24" t="n"/>
      <c r="O190" s="35" t="n"/>
      <c r="P190" s="25" t="n"/>
      <c r="Q190" s="36">
        <f>IF(A190="","",IF(P190&lt;&gt;"",P190,IFERROR(IF(N(INDEX(Suppliers!$E$5:$E$24,MATCH(H190,Suppliers!$B$5:$B$24,0)))&gt;0,INDEX(Suppliers!$E$5:$E$24,MATCH(H190,Suppliers!$B$5:$B$24,0)),5),5)))</f>
        <v/>
      </c>
      <c r="R190" s="35" t="n"/>
      <c r="S190" s="37" t="n"/>
      <c r="T190" s="25" t="n"/>
      <c r="U190" s="37" t="n"/>
      <c r="V190" s="37" t="n"/>
      <c r="W190" s="36">
        <f>IF(A190="","",ROUNDUP(N(O190)*(Q190/7+Settings!$C$5),0))</f>
        <v/>
      </c>
      <c r="X190" s="25" t="n"/>
      <c r="Y190" s="25" t="n"/>
      <c r="Z190" s="32">
        <f>IF(A190="","",IF(Y190&lt;&gt;"",Y190,MAX(1,ROUNDUP(N(O190)*Settings!$C$7,0))))</f>
        <v/>
      </c>
      <c r="AA190" s="38">
        <f>IF(A190="","",MAX(N(S190),_xlfn.MAXIFS(Log!$A$2:$A$1001,Log!$B$2:$B$1001,A190,Log!$C$2:$C$1001,"Count")))</f>
        <v/>
      </c>
      <c r="AB190" s="39">
        <f>IF(A190="","",Z190*N(L190))</f>
        <v/>
      </c>
      <c r="AC190" s="40">
        <f>IF(A190="","",N(O190)*52*N(L190))</f>
        <v/>
      </c>
      <c r="AD190" s="39">
        <f>IF(A190="","",C190*N(L190))</f>
        <v/>
      </c>
      <c r="AE190" s="41">
        <f>IF(A190="",0,IF(AND(OR(B190="Order now",B190="Critical"),F190=0),1,0))</f>
        <v/>
      </c>
      <c r="AF190" s="41">
        <f>IF(AE190=1,IFERROR(MATCH(H190,Suppliers!$B$5:$B$24,0),99)*1000+ROW(),"")</f>
        <v/>
      </c>
      <c r="AG190" s="41">
        <f>IF(AF190="","",COUNTIF('Stock list'!$AF$2:$AF$301,"&lt;"&amp;AF190)+1)</f>
        <v/>
      </c>
      <c r="AH190" s="41">
        <f>IF(A190="",0,IF(OR(AA190=0,AND(B190="OK",OR(C190&lt;=D190+N(O190)*Settings!$C$6,Settings!$C$10-AA190&gt;Settings!$C$8*7))),1,0))</f>
        <v/>
      </c>
      <c r="AI190" s="41">
        <f>IF(AH190=0,"",IF(AA190=0,"Never counted",IF(C190&lt;=D190+N(O190)*Settings!$C$6,"Near the reorder point","Not counted for "&amp;INT((Settings!$C$10-AA190)/7)&amp;" weeks")))</f>
        <v/>
      </c>
      <c r="AJ190" s="41">
        <f>IF(AH190=1,IFERROR(MATCH(M190,Settings!$G$19:$G$38,0),99)*1000+ROW(),"")</f>
        <v/>
      </c>
      <c r="AK190" s="41">
        <f>IF(AJ190="","",COUNTIF('Stock list'!$AJ$2:$AJ$301,"&lt;"&amp;AJ190)+1)</f>
        <v/>
      </c>
      <c r="AL190" s="41">
        <f>IF(OR(A190="",N(AC190)=0),"",AC190+ROW()/1000000)</f>
        <v/>
      </c>
    </row>
    <row r="191">
      <c r="A191" s="24" t="n"/>
      <c r="B191" s="30">
        <f>IF(A191="","",IF(AA191=0,"No count",IF(AND(N(O191)&gt;0,C191/O191*7&lt;Q191),"Critical",IF(F191&gt;0,"On order",IF(AND(D191&gt;0,C191&lt;=D191),"Order now","OK")))))</f>
        <v/>
      </c>
      <c r="C191" s="31">
        <f>IF(A191="","",MAX(0,IF(_xlfn.MAXIFS(Log!$A$2:$A$1001,Log!$B$2:$B$1001,A191,Log!$C$2:$C$1001,"Count")&gt;N(S191),_xlfn.MAXIFS(Log!$D$2:$D$1001,Log!$B$2:$B$1001,A191,Log!$C$2:$C$1001,"Count",Log!$A$2:$A$1001,AA191),N(R191))+SUMIFS(Log!$D$2:$D$1001,Log!$B$2:$B$1001,A191,Log!$C$2:$C$1001,"Received",Log!$A$2:$A$1001,"&gt;"&amp;AA191)-SUMIFS(Log!$D$2:$D$1001,Log!$B$2:$B$1001,A191,Log!$C$2:$C$1001,"Used",Log!$A$2:$A$1001,"&gt;"&amp;AA191)+SUMIFS(Log!$D$2:$D$1001,Log!$B$2:$B$1001,A191,Log!$C$2:$C$1001,"Adjustment",Log!$A$2:$A$1001,"&gt;"&amp;AA191)))</f>
        <v/>
      </c>
      <c r="D191" s="32">
        <f>IF(A191="","",IF(X191&lt;&gt;"",X191,W191))</f>
        <v/>
      </c>
      <c r="E191" s="33">
        <f>IF(OR(A191="",N(O191)=0),"",C191/O191)</f>
        <v/>
      </c>
      <c r="F191" s="31">
        <f>IF(A191="","",MAX(0,N(T191)-SUMIFS(Log!$D$2:$D$1001,Log!$B$2:$B$1001,A191,Log!$C$2:$C$1001,"Received",Log!$A$2:$A$1001,"&gt;="&amp;N(U191))))</f>
        <v/>
      </c>
      <c r="G191" s="24" t="n"/>
      <c r="H191" s="24" t="n"/>
      <c r="I191" s="24" t="n"/>
      <c r="J191" s="24" t="n"/>
      <c r="K191" s="24" t="n"/>
      <c r="L191" s="34" t="n"/>
      <c r="M191" s="24" t="n"/>
      <c r="N191" s="24" t="n"/>
      <c r="O191" s="35" t="n"/>
      <c r="P191" s="25" t="n"/>
      <c r="Q191" s="36">
        <f>IF(A191="","",IF(P191&lt;&gt;"",P191,IFERROR(IF(N(INDEX(Suppliers!$E$5:$E$24,MATCH(H191,Suppliers!$B$5:$B$24,0)))&gt;0,INDEX(Suppliers!$E$5:$E$24,MATCH(H191,Suppliers!$B$5:$B$24,0)),5),5)))</f>
        <v/>
      </c>
      <c r="R191" s="35" t="n"/>
      <c r="S191" s="37" t="n"/>
      <c r="T191" s="25" t="n"/>
      <c r="U191" s="37" t="n"/>
      <c r="V191" s="37" t="n"/>
      <c r="W191" s="36">
        <f>IF(A191="","",ROUNDUP(N(O191)*(Q191/7+Settings!$C$5),0))</f>
        <v/>
      </c>
      <c r="X191" s="25" t="n"/>
      <c r="Y191" s="25" t="n"/>
      <c r="Z191" s="32">
        <f>IF(A191="","",IF(Y191&lt;&gt;"",Y191,MAX(1,ROUNDUP(N(O191)*Settings!$C$7,0))))</f>
        <v/>
      </c>
      <c r="AA191" s="38">
        <f>IF(A191="","",MAX(N(S191),_xlfn.MAXIFS(Log!$A$2:$A$1001,Log!$B$2:$B$1001,A191,Log!$C$2:$C$1001,"Count")))</f>
        <v/>
      </c>
      <c r="AB191" s="39">
        <f>IF(A191="","",Z191*N(L191))</f>
        <v/>
      </c>
      <c r="AC191" s="40">
        <f>IF(A191="","",N(O191)*52*N(L191))</f>
        <v/>
      </c>
      <c r="AD191" s="39">
        <f>IF(A191="","",C191*N(L191))</f>
        <v/>
      </c>
      <c r="AE191" s="41">
        <f>IF(A191="",0,IF(AND(OR(B191="Order now",B191="Critical"),F191=0),1,0))</f>
        <v/>
      </c>
      <c r="AF191" s="41">
        <f>IF(AE191=1,IFERROR(MATCH(H191,Suppliers!$B$5:$B$24,0),99)*1000+ROW(),"")</f>
        <v/>
      </c>
      <c r="AG191" s="41">
        <f>IF(AF191="","",COUNTIF('Stock list'!$AF$2:$AF$301,"&lt;"&amp;AF191)+1)</f>
        <v/>
      </c>
      <c r="AH191" s="41">
        <f>IF(A191="",0,IF(OR(AA191=0,AND(B191="OK",OR(C191&lt;=D191+N(O191)*Settings!$C$6,Settings!$C$10-AA191&gt;Settings!$C$8*7))),1,0))</f>
        <v/>
      </c>
      <c r="AI191" s="41">
        <f>IF(AH191=0,"",IF(AA191=0,"Never counted",IF(C191&lt;=D191+N(O191)*Settings!$C$6,"Near the reorder point","Not counted for "&amp;INT((Settings!$C$10-AA191)/7)&amp;" weeks")))</f>
        <v/>
      </c>
      <c r="AJ191" s="41">
        <f>IF(AH191=1,IFERROR(MATCH(M191,Settings!$G$19:$G$38,0),99)*1000+ROW(),"")</f>
        <v/>
      </c>
      <c r="AK191" s="41">
        <f>IF(AJ191="","",COUNTIF('Stock list'!$AJ$2:$AJ$301,"&lt;"&amp;AJ191)+1)</f>
        <v/>
      </c>
      <c r="AL191" s="41">
        <f>IF(OR(A191="",N(AC191)=0),"",AC191+ROW()/1000000)</f>
        <v/>
      </c>
    </row>
    <row r="192">
      <c r="A192" s="24" t="n"/>
      <c r="B192" s="30">
        <f>IF(A192="","",IF(AA192=0,"No count",IF(AND(N(O192)&gt;0,C192/O192*7&lt;Q192),"Critical",IF(F192&gt;0,"On order",IF(AND(D192&gt;0,C192&lt;=D192),"Order now","OK")))))</f>
        <v/>
      </c>
      <c r="C192" s="31">
        <f>IF(A192="","",MAX(0,IF(_xlfn.MAXIFS(Log!$A$2:$A$1001,Log!$B$2:$B$1001,A192,Log!$C$2:$C$1001,"Count")&gt;N(S192),_xlfn.MAXIFS(Log!$D$2:$D$1001,Log!$B$2:$B$1001,A192,Log!$C$2:$C$1001,"Count",Log!$A$2:$A$1001,AA192),N(R192))+SUMIFS(Log!$D$2:$D$1001,Log!$B$2:$B$1001,A192,Log!$C$2:$C$1001,"Received",Log!$A$2:$A$1001,"&gt;"&amp;AA192)-SUMIFS(Log!$D$2:$D$1001,Log!$B$2:$B$1001,A192,Log!$C$2:$C$1001,"Used",Log!$A$2:$A$1001,"&gt;"&amp;AA192)+SUMIFS(Log!$D$2:$D$1001,Log!$B$2:$B$1001,A192,Log!$C$2:$C$1001,"Adjustment",Log!$A$2:$A$1001,"&gt;"&amp;AA192)))</f>
        <v/>
      </c>
      <c r="D192" s="32">
        <f>IF(A192="","",IF(X192&lt;&gt;"",X192,W192))</f>
        <v/>
      </c>
      <c r="E192" s="33">
        <f>IF(OR(A192="",N(O192)=0),"",C192/O192)</f>
        <v/>
      </c>
      <c r="F192" s="31">
        <f>IF(A192="","",MAX(0,N(T192)-SUMIFS(Log!$D$2:$D$1001,Log!$B$2:$B$1001,A192,Log!$C$2:$C$1001,"Received",Log!$A$2:$A$1001,"&gt;="&amp;N(U192))))</f>
        <v/>
      </c>
      <c r="G192" s="24" t="n"/>
      <c r="H192" s="24" t="n"/>
      <c r="I192" s="24" t="n"/>
      <c r="J192" s="24" t="n"/>
      <c r="K192" s="24" t="n"/>
      <c r="L192" s="34" t="n"/>
      <c r="M192" s="24" t="n"/>
      <c r="N192" s="24" t="n"/>
      <c r="O192" s="35" t="n"/>
      <c r="P192" s="25" t="n"/>
      <c r="Q192" s="36">
        <f>IF(A192="","",IF(P192&lt;&gt;"",P192,IFERROR(IF(N(INDEX(Suppliers!$E$5:$E$24,MATCH(H192,Suppliers!$B$5:$B$24,0)))&gt;0,INDEX(Suppliers!$E$5:$E$24,MATCH(H192,Suppliers!$B$5:$B$24,0)),5),5)))</f>
        <v/>
      </c>
      <c r="R192" s="35" t="n"/>
      <c r="S192" s="37" t="n"/>
      <c r="T192" s="25" t="n"/>
      <c r="U192" s="37" t="n"/>
      <c r="V192" s="37" t="n"/>
      <c r="W192" s="36">
        <f>IF(A192="","",ROUNDUP(N(O192)*(Q192/7+Settings!$C$5),0))</f>
        <v/>
      </c>
      <c r="X192" s="25" t="n"/>
      <c r="Y192" s="25" t="n"/>
      <c r="Z192" s="32">
        <f>IF(A192="","",IF(Y192&lt;&gt;"",Y192,MAX(1,ROUNDUP(N(O192)*Settings!$C$7,0))))</f>
        <v/>
      </c>
      <c r="AA192" s="38">
        <f>IF(A192="","",MAX(N(S192),_xlfn.MAXIFS(Log!$A$2:$A$1001,Log!$B$2:$B$1001,A192,Log!$C$2:$C$1001,"Count")))</f>
        <v/>
      </c>
      <c r="AB192" s="39">
        <f>IF(A192="","",Z192*N(L192))</f>
        <v/>
      </c>
      <c r="AC192" s="40">
        <f>IF(A192="","",N(O192)*52*N(L192))</f>
        <v/>
      </c>
      <c r="AD192" s="39">
        <f>IF(A192="","",C192*N(L192))</f>
        <v/>
      </c>
      <c r="AE192" s="41">
        <f>IF(A192="",0,IF(AND(OR(B192="Order now",B192="Critical"),F192=0),1,0))</f>
        <v/>
      </c>
      <c r="AF192" s="41">
        <f>IF(AE192=1,IFERROR(MATCH(H192,Suppliers!$B$5:$B$24,0),99)*1000+ROW(),"")</f>
        <v/>
      </c>
      <c r="AG192" s="41">
        <f>IF(AF192="","",COUNTIF('Stock list'!$AF$2:$AF$301,"&lt;"&amp;AF192)+1)</f>
        <v/>
      </c>
      <c r="AH192" s="41">
        <f>IF(A192="",0,IF(OR(AA192=0,AND(B192="OK",OR(C192&lt;=D192+N(O192)*Settings!$C$6,Settings!$C$10-AA192&gt;Settings!$C$8*7))),1,0))</f>
        <v/>
      </c>
      <c r="AI192" s="41">
        <f>IF(AH192=0,"",IF(AA192=0,"Never counted",IF(C192&lt;=D192+N(O192)*Settings!$C$6,"Near the reorder point","Not counted for "&amp;INT((Settings!$C$10-AA192)/7)&amp;" weeks")))</f>
        <v/>
      </c>
      <c r="AJ192" s="41">
        <f>IF(AH192=1,IFERROR(MATCH(M192,Settings!$G$19:$G$38,0),99)*1000+ROW(),"")</f>
        <v/>
      </c>
      <c r="AK192" s="41">
        <f>IF(AJ192="","",COUNTIF('Stock list'!$AJ$2:$AJ$301,"&lt;"&amp;AJ192)+1)</f>
        <v/>
      </c>
      <c r="AL192" s="41">
        <f>IF(OR(A192="",N(AC192)=0),"",AC192+ROW()/1000000)</f>
        <v/>
      </c>
    </row>
    <row r="193">
      <c r="A193" s="24" t="n"/>
      <c r="B193" s="30">
        <f>IF(A193="","",IF(AA193=0,"No count",IF(AND(N(O193)&gt;0,C193/O193*7&lt;Q193),"Critical",IF(F193&gt;0,"On order",IF(AND(D193&gt;0,C193&lt;=D193),"Order now","OK")))))</f>
        <v/>
      </c>
      <c r="C193" s="31">
        <f>IF(A193="","",MAX(0,IF(_xlfn.MAXIFS(Log!$A$2:$A$1001,Log!$B$2:$B$1001,A193,Log!$C$2:$C$1001,"Count")&gt;N(S193),_xlfn.MAXIFS(Log!$D$2:$D$1001,Log!$B$2:$B$1001,A193,Log!$C$2:$C$1001,"Count",Log!$A$2:$A$1001,AA193),N(R193))+SUMIFS(Log!$D$2:$D$1001,Log!$B$2:$B$1001,A193,Log!$C$2:$C$1001,"Received",Log!$A$2:$A$1001,"&gt;"&amp;AA193)-SUMIFS(Log!$D$2:$D$1001,Log!$B$2:$B$1001,A193,Log!$C$2:$C$1001,"Used",Log!$A$2:$A$1001,"&gt;"&amp;AA193)+SUMIFS(Log!$D$2:$D$1001,Log!$B$2:$B$1001,A193,Log!$C$2:$C$1001,"Adjustment",Log!$A$2:$A$1001,"&gt;"&amp;AA193)))</f>
        <v/>
      </c>
      <c r="D193" s="32">
        <f>IF(A193="","",IF(X193&lt;&gt;"",X193,W193))</f>
        <v/>
      </c>
      <c r="E193" s="33">
        <f>IF(OR(A193="",N(O193)=0),"",C193/O193)</f>
        <v/>
      </c>
      <c r="F193" s="31">
        <f>IF(A193="","",MAX(0,N(T193)-SUMIFS(Log!$D$2:$D$1001,Log!$B$2:$B$1001,A193,Log!$C$2:$C$1001,"Received",Log!$A$2:$A$1001,"&gt;="&amp;N(U193))))</f>
        <v/>
      </c>
      <c r="G193" s="24" t="n"/>
      <c r="H193" s="24" t="n"/>
      <c r="I193" s="24" t="n"/>
      <c r="J193" s="24" t="n"/>
      <c r="K193" s="24" t="n"/>
      <c r="L193" s="34" t="n"/>
      <c r="M193" s="24" t="n"/>
      <c r="N193" s="24" t="n"/>
      <c r="O193" s="35" t="n"/>
      <c r="P193" s="25" t="n"/>
      <c r="Q193" s="36">
        <f>IF(A193="","",IF(P193&lt;&gt;"",P193,IFERROR(IF(N(INDEX(Suppliers!$E$5:$E$24,MATCH(H193,Suppliers!$B$5:$B$24,0)))&gt;0,INDEX(Suppliers!$E$5:$E$24,MATCH(H193,Suppliers!$B$5:$B$24,0)),5),5)))</f>
        <v/>
      </c>
      <c r="R193" s="35" t="n"/>
      <c r="S193" s="37" t="n"/>
      <c r="T193" s="25" t="n"/>
      <c r="U193" s="37" t="n"/>
      <c r="V193" s="37" t="n"/>
      <c r="W193" s="36">
        <f>IF(A193="","",ROUNDUP(N(O193)*(Q193/7+Settings!$C$5),0))</f>
        <v/>
      </c>
      <c r="X193" s="25" t="n"/>
      <c r="Y193" s="25" t="n"/>
      <c r="Z193" s="32">
        <f>IF(A193="","",IF(Y193&lt;&gt;"",Y193,MAX(1,ROUNDUP(N(O193)*Settings!$C$7,0))))</f>
        <v/>
      </c>
      <c r="AA193" s="38">
        <f>IF(A193="","",MAX(N(S193),_xlfn.MAXIFS(Log!$A$2:$A$1001,Log!$B$2:$B$1001,A193,Log!$C$2:$C$1001,"Count")))</f>
        <v/>
      </c>
      <c r="AB193" s="39">
        <f>IF(A193="","",Z193*N(L193))</f>
        <v/>
      </c>
      <c r="AC193" s="40">
        <f>IF(A193="","",N(O193)*52*N(L193))</f>
        <v/>
      </c>
      <c r="AD193" s="39">
        <f>IF(A193="","",C193*N(L193))</f>
        <v/>
      </c>
      <c r="AE193" s="41">
        <f>IF(A193="",0,IF(AND(OR(B193="Order now",B193="Critical"),F193=0),1,0))</f>
        <v/>
      </c>
      <c r="AF193" s="41">
        <f>IF(AE193=1,IFERROR(MATCH(H193,Suppliers!$B$5:$B$24,0),99)*1000+ROW(),"")</f>
        <v/>
      </c>
      <c r="AG193" s="41">
        <f>IF(AF193="","",COUNTIF('Stock list'!$AF$2:$AF$301,"&lt;"&amp;AF193)+1)</f>
        <v/>
      </c>
      <c r="AH193" s="41">
        <f>IF(A193="",0,IF(OR(AA193=0,AND(B193="OK",OR(C193&lt;=D193+N(O193)*Settings!$C$6,Settings!$C$10-AA193&gt;Settings!$C$8*7))),1,0))</f>
        <v/>
      </c>
      <c r="AI193" s="41">
        <f>IF(AH193=0,"",IF(AA193=0,"Never counted",IF(C193&lt;=D193+N(O193)*Settings!$C$6,"Near the reorder point","Not counted for "&amp;INT((Settings!$C$10-AA193)/7)&amp;" weeks")))</f>
        <v/>
      </c>
      <c r="AJ193" s="41">
        <f>IF(AH193=1,IFERROR(MATCH(M193,Settings!$G$19:$G$38,0),99)*1000+ROW(),"")</f>
        <v/>
      </c>
      <c r="AK193" s="41">
        <f>IF(AJ193="","",COUNTIF('Stock list'!$AJ$2:$AJ$301,"&lt;"&amp;AJ193)+1)</f>
        <v/>
      </c>
      <c r="AL193" s="41">
        <f>IF(OR(A193="",N(AC193)=0),"",AC193+ROW()/1000000)</f>
        <v/>
      </c>
    </row>
    <row r="194">
      <c r="A194" s="24" t="n"/>
      <c r="B194" s="30">
        <f>IF(A194="","",IF(AA194=0,"No count",IF(AND(N(O194)&gt;0,C194/O194*7&lt;Q194),"Critical",IF(F194&gt;0,"On order",IF(AND(D194&gt;0,C194&lt;=D194),"Order now","OK")))))</f>
        <v/>
      </c>
      <c r="C194" s="31">
        <f>IF(A194="","",MAX(0,IF(_xlfn.MAXIFS(Log!$A$2:$A$1001,Log!$B$2:$B$1001,A194,Log!$C$2:$C$1001,"Count")&gt;N(S194),_xlfn.MAXIFS(Log!$D$2:$D$1001,Log!$B$2:$B$1001,A194,Log!$C$2:$C$1001,"Count",Log!$A$2:$A$1001,AA194),N(R194))+SUMIFS(Log!$D$2:$D$1001,Log!$B$2:$B$1001,A194,Log!$C$2:$C$1001,"Received",Log!$A$2:$A$1001,"&gt;"&amp;AA194)-SUMIFS(Log!$D$2:$D$1001,Log!$B$2:$B$1001,A194,Log!$C$2:$C$1001,"Used",Log!$A$2:$A$1001,"&gt;"&amp;AA194)+SUMIFS(Log!$D$2:$D$1001,Log!$B$2:$B$1001,A194,Log!$C$2:$C$1001,"Adjustment",Log!$A$2:$A$1001,"&gt;"&amp;AA194)))</f>
        <v/>
      </c>
      <c r="D194" s="32">
        <f>IF(A194="","",IF(X194&lt;&gt;"",X194,W194))</f>
        <v/>
      </c>
      <c r="E194" s="33">
        <f>IF(OR(A194="",N(O194)=0),"",C194/O194)</f>
        <v/>
      </c>
      <c r="F194" s="31">
        <f>IF(A194="","",MAX(0,N(T194)-SUMIFS(Log!$D$2:$D$1001,Log!$B$2:$B$1001,A194,Log!$C$2:$C$1001,"Received",Log!$A$2:$A$1001,"&gt;="&amp;N(U194))))</f>
        <v/>
      </c>
      <c r="G194" s="24" t="n"/>
      <c r="H194" s="24" t="n"/>
      <c r="I194" s="24" t="n"/>
      <c r="J194" s="24" t="n"/>
      <c r="K194" s="24" t="n"/>
      <c r="L194" s="34" t="n"/>
      <c r="M194" s="24" t="n"/>
      <c r="N194" s="24" t="n"/>
      <c r="O194" s="35" t="n"/>
      <c r="P194" s="25" t="n"/>
      <c r="Q194" s="36">
        <f>IF(A194="","",IF(P194&lt;&gt;"",P194,IFERROR(IF(N(INDEX(Suppliers!$E$5:$E$24,MATCH(H194,Suppliers!$B$5:$B$24,0)))&gt;0,INDEX(Suppliers!$E$5:$E$24,MATCH(H194,Suppliers!$B$5:$B$24,0)),5),5)))</f>
        <v/>
      </c>
      <c r="R194" s="35" t="n"/>
      <c r="S194" s="37" t="n"/>
      <c r="T194" s="25" t="n"/>
      <c r="U194" s="37" t="n"/>
      <c r="V194" s="37" t="n"/>
      <c r="W194" s="36">
        <f>IF(A194="","",ROUNDUP(N(O194)*(Q194/7+Settings!$C$5),0))</f>
        <v/>
      </c>
      <c r="X194" s="25" t="n"/>
      <c r="Y194" s="25" t="n"/>
      <c r="Z194" s="32">
        <f>IF(A194="","",IF(Y194&lt;&gt;"",Y194,MAX(1,ROUNDUP(N(O194)*Settings!$C$7,0))))</f>
        <v/>
      </c>
      <c r="AA194" s="38">
        <f>IF(A194="","",MAX(N(S194),_xlfn.MAXIFS(Log!$A$2:$A$1001,Log!$B$2:$B$1001,A194,Log!$C$2:$C$1001,"Count")))</f>
        <v/>
      </c>
      <c r="AB194" s="39">
        <f>IF(A194="","",Z194*N(L194))</f>
        <v/>
      </c>
      <c r="AC194" s="40">
        <f>IF(A194="","",N(O194)*52*N(L194))</f>
        <v/>
      </c>
      <c r="AD194" s="39">
        <f>IF(A194="","",C194*N(L194))</f>
        <v/>
      </c>
      <c r="AE194" s="41">
        <f>IF(A194="",0,IF(AND(OR(B194="Order now",B194="Critical"),F194=0),1,0))</f>
        <v/>
      </c>
      <c r="AF194" s="41">
        <f>IF(AE194=1,IFERROR(MATCH(H194,Suppliers!$B$5:$B$24,0),99)*1000+ROW(),"")</f>
        <v/>
      </c>
      <c r="AG194" s="41">
        <f>IF(AF194="","",COUNTIF('Stock list'!$AF$2:$AF$301,"&lt;"&amp;AF194)+1)</f>
        <v/>
      </c>
      <c r="AH194" s="41">
        <f>IF(A194="",0,IF(OR(AA194=0,AND(B194="OK",OR(C194&lt;=D194+N(O194)*Settings!$C$6,Settings!$C$10-AA194&gt;Settings!$C$8*7))),1,0))</f>
        <v/>
      </c>
      <c r="AI194" s="41">
        <f>IF(AH194=0,"",IF(AA194=0,"Never counted",IF(C194&lt;=D194+N(O194)*Settings!$C$6,"Near the reorder point","Not counted for "&amp;INT((Settings!$C$10-AA194)/7)&amp;" weeks")))</f>
        <v/>
      </c>
      <c r="AJ194" s="41">
        <f>IF(AH194=1,IFERROR(MATCH(M194,Settings!$G$19:$G$38,0),99)*1000+ROW(),"")</f>
        <v/>
      </c>
      <c r="AK194" s="41">
        <f>IF(AJ194="","",COUNTIF('Stock list'!$AJ$2:$AJ$301,"&lt;"&amp;AJ194)+1)</f>
        <v/>
      </c>
      <c r="AL194" s="41">
        <f>IF(OR(A194="",N(AC194)=0),"",AC194+ROW()/1000000)</f>
        <v/>
      </c>
    </row>
    <row r="195">
      <c r="A195" s="24" t="n"/>
      <c r="B195" s="30">
        <f>IF(A195="","",IF(AA195=0,"No count",IF(AND(N(O195)&gt;0,C195/O195*7&lt;Q195),"Critical",IF(F195&gt;0,"On order",IF(AND(D195&gt;0,C195&lt;=D195),"Order now","OK")))))</f>
        <v/>
      </c>
      <c r="C195" s="31">
        <f>IF(A195="","",MAX(0,IF(_xlfn.MAXIFS(Log!$A$2:$A$1001,Log!$B$2:$B$1001,A195,Log!$C$2:$C$1001,"Count")&gt;N(S195),_xlfn.MAXIFS(Log!$D$2:$D$1001,Log!$B$2:$B$1001,A195,Log!$C$2:$C$1001,"Count",Log!$A$2:$A$1001,AA195),N(R195))+SUMIFS(Log!$D$2:$D$1001,Log!$B$2:$B$1001,A195,Log!$C$2:$C$1001,"Received",Log!$A$2:$A$1001,"&gt;"&amp;AA195)-SUMIFS(Log!$D$2:$D$1001,Log!$B$2:$B$1001,A195,Log!$C$2:$C$1001,"Used",Log!$A$2:$A$1001,"&gt;"&amp;AA195)+SUMIFS(Log!$D$2:$D$1001,Log!$B$2:$B$1001,A195,Log!$C$2:$C$1001,"Adjustment",Log!$A$2:$A$1001,"&gt;"&amp;AA195)))</f>
        <v/>
      </c>
      <c r="D195" s="32">
        <f>IF(A195="","",IF(X195&lt;&gt;"",X195,W195))</f>
        <v/>
      </c>
      <c r="E195" s="33">
        <f>IF(OR(A195="",N(O195)=0),"",C195/O195)</f>
        <v/>
      </c>
      <c r="F195" s="31">
        <f>IF(A195="","",MAX(0,N(T195)-SUMIFS(Log!$D$2:$D$1001,Log!$B$2:$B$1001,A195,Log!$C$2:$C$1001,"Received",Log!$A$2:$A$1001,"&gt;="&amp;N(U195))))</f>
        <v/>
      </c>
      <c r="G195" s="24" t="n"/>
      <c r="H195" s="24" t="n"/>
      <c r="I195" s="24" t="n"/>
      <c r="J195" s="24" t="n"/>
      <c r="K195" s="24" t="n"/>
      <c r="L195" s="34" t="n"/>
      <c r="M195" s="24" t="n"/>
      <c r="N195" s="24" t="n"/>
      <c r="O195" s="35" t="n"/>
      <c r="P195" s="25" t="n"/>
      <c r="Q195" s="36">
        <f>IF(A195="","",IF(P195&lt;&gt;"",P195,IFERROR(IF(N(INDEX(Suppliers!$E$5:$E$24,MATCH(H195,Suppliers!$B$5:$B$24,0)))&gt;0,INDEX(Suppliers!$E$5:$E$24,MATCH(H195,Suppliers!$B$5:$B$24,0)),5),5)))</f>
        <v/>
      </c>
      <c r="R195" s="35" t="n"/>
      <c r="S195" s="37" t="n"/>
      <c r="T195" s="25" t="n"/>
      <c r="U195" s="37" t="n"/>
      <c r="V195" s="37" t="n"/>
      <c r="W195" s="36">
        <f>IF(A195="","",ROUNDUP(N(O195)*(Q195/7+Settings!$C$5),0))</f>
        <v/>
      </c>
      <c r="X195" s="25" t="n"/>
      <c r="Y195" s="25" t="n"/>
      <c r="Z195" s="32">
        <f>IF(A195="","",IF(Y195&lt;&gt;"",Y195,MAX(1,ROUNDUP(N(O195)*Settings!$C$7,0))))</f>
        <v/>
      </c>
      <c r="AA195" s="38">
        <f>IF(A195="","",MAX(N(S195),_xlfn.MAXIFS(Log!$A$2:$A$1001,Log!$B$2:$B$1001,A195,Log!$C$2:$C$1001,"Count")))</f>
        <v/>
      </c>
      <c r="AB195" s="39">
        <f>IF(A195="","",Z195*N(L195))</f>
        <v/>
      </c>
      <c r="AC195" s="40">
        <f>IF(A195="","",N(O195)*52*N(L195))</f>
        <v/>
      </c>
      <c r="AD195" s="39">
        <f>IF(A195="","",C195*N(L195))</f>
        <v/>
      </c>
      <c r="AE195" s="41">
        <f>IF(A195="",0,IF(AND(OR(B195="Order now",B195="Critical"),F195=0),1,0))</f>
        <v/>
      </c>
      <c r="AF195" s="41">
        <f>IF(AE195=1,IFERROR(MATCH(H195,Suppliers!$B$5:$B$24,0),99)*1000+ROW(),"")</f>
        <v/>
      </c>
      <c r="AG195" s="41">
        <f>IF(AF195="","",COUNTIF('Stock list'!$AF$2:$AF$301,"&lt;"&amp;AF195)+1)</f>
        <v/>
      </c>
      <c r="AH195" s="41">
        <f>IF(A195="",0,IF(OR(AA195=0,AND(B195="OK",OR(C195&lt;=D195+N(O195)*Settings!$C$6,Settings!$C$10-AA195&gt;Settings!$C$8*7))),1,0))</f>
        <v/>
      </c>
      <c r="AI195" s="41">
        <f>IF(AH195=0,"",IF(AA195=0,"Never counted",IF(C195&lt;=D195+N(O195)*Settings!$C$6,"Near the reorder point","Not counted for "&amp;INT((Settings!$C$10-AA195)/7)&amp;" weeks")))</f>
        <v/>
      </c>
      <c r="AJ195" s="41">
        <f>IF(AH195=1,IFERROR(MATCH(M195,Settings!$G$19:$G$38,0),99)*1000+ROW(),"")</f>
        <v/>
      </c>
      <c r="AK195" s="41">
        <f>IF(AJ195="","",COUNTIF('Stock list'!$AJ$2:$AJ$301,"&lt;"&amp;AJ195)+1)</f>
        <v/>
      </c>
      <c r="AL195" s="41">
        <f>IF(OR(A195="",N(AC195)=0),"",AC195+ROW()/1000000)</f>
        <v/>
      </c>
    </row>
    <row r="196">
      <c r="A196" s="24" t="n"/>
      <c r="B196" s="30">
        <f>IF(A196="","",IF(AA196=0,"No count",IF(AND(N(O196)&gt;0,C196/O196*7&lt;Q196),"Critical",IF(F196&gt;0,"On order",IF(AND(D196&gt;0,C196&lt;=D196),"Order now","OK")))))</f>
        <v/>
      </c>
      <c r="C196" s="31">
        <f>IF(A196="","",MAX(0,IF(_xlfn.MAXIFS(Log!$A$2:$A$1001,Log!$B$2:$B$1001,A196,Log!$C$2:$C$1001,"Count")&gt;N(S196),_xlfn.MAXIFS(Log!$D$2:$D$1001,Log!$B$2:$B$1001,A196,Log!$C$2:$C$1001,"Count",Log!$A$2:$A$1001,AA196),N(R196))+SUMIFS(Log!$D$2:$D$1001,Log!$B$2:$B$1001,A196,Log!$C$2:$C$1001,"Received",Log!$A$2:$A$1001,"&gt;"&amp;AA196)-SUMIFS(Log!$D$2:$D$1001,Log!$B$2:$B$1001,A196,Log!$C$2:$C$1001,"Used",Log!$A$2:$A$1001,"&gt;"&amp;AA196)+SUMIFS(Log!$D$2:$D$1001,Log!$B$2:$B$1001,A196,Log!$C$2:$C$1001,"Adjustment",Log!$A$2:$A$1001,"&gt;"&amp;AA196)))</f>
        <v/>
      </c>
      <c r="D196" s="32">
        <f>IF(A196="","",IF(X196&lt;&gt;"",X196,W196))</f>
        <v/>
      </c>
      <c r="E196" s="33">
        <f>IF(OR(A196="",N(O196)=0),"",C196/O196)</f>
        <v/>
      </c>
      <c r="F196" s="31">
        <f>IF(A196="","",MAX(0,N(T196)-SUMIFS(Log!$D$2:$D$1001,Log!$B$2:$B$1001,A196,Log!$C$2:$C$1001,"Received",Log!$A$2:$A$1001,"&gt;="&amp;N(U196))))</f>
        <v/>
      </c>
      <c r="G196" s="24" t="n"/>
      <c r="H196" s="24" t="n"/>
      <c r="I196" s="24" t="n"/>
      <c r="J196" s="24" t="n"/>
      <c r="K196" s="24" t="n"/>
      <c r="L196" s="34" t="n"/>
      <c r="M196" s="24" t="n"/>
      <c r="N196" s="24" t="n"/>
      <c r="O196" s="35" t="n"/>
      <c r="P196" s="25" t="n"/>
      <c r="Q196" s="36">
        <f>IF(A196="","",IF(P196&lt;&gt;"",P196,IFERROR(IF(N(INDEX(Suppliers!$E$5:$E$24,MATCH(H196,Suppliers!$B$5:$B$24,0)))&gt;0,INDEX(Suppliers!$E$5:$E$24,MATCH(H196,Suppliers!$B$5:$B$24,0)),5),5)))</f>
        <v/>
      </c>
      <c r="R196" s="35" t="n"/>
      <c r="S196" s="37" t="n"/>
      <c r="T196" s="25" t="n"/>
      <c r="U196" s="37" t="n"/>
      <c r="V196" s="37" t="n"/>
      <c r="W196" s="36">
        <f>IF(A196="","",ROUNDUP(N(O196)*(Q196/7+Settings!$C$5),0))</f>
        <v/>
      </c>
      <c r="X196" s="25" t="n"/>
      <c r="Y196" s="25" t="n"/>
      <c r="Z196" s="32">
        <f>IF(A196="","",IF(Y196&lt;&gt;"",Y196,MAX(1,ROUNDUP(N(O196)*Settings!$C$7,0))))</f>
        <v/>
      </c>
      <c r="AA196" s="38">
        <f>IF(A196="","",MAX(N(S196),_xlfn.MAXIFS(Log!$A$2:$A$1001,Log!$B$2:$B$1001,A196,Log!$C$2:$C$1001,"Count")))</f>
        <v/>
      </c>
      <c r="AB196" s="39">
        <f>IF(A196="","",Z196*N(L196))</f>
        <v/>
      </c>
      <c r="AC196" s="40">
        <f>IF(A196="","",N(O196)*52*N(L196))</f>
        <v/>
      </c>
      <c r="AD196" s="39">
        <f>IF(A196="","",C196*N(L196))</f>
        <v/>
      </c>
      <c r="AE196" s="41">
        <f>IF(A196="",0,IF(AND(OR(B196="Order now",B196="Critical"),F196=0),1,0))</f>
        <v/>
      </c>
      <c r="AF196" s="41">
        <f>IF(AE196=1,IFERROR(MATCH(H196,Suppliers!$B$5:$B$24,0),99)*1000+ROW(),"")</f>
        <v/>
      </c>
      <c r="AG196" s="41">
        <f>IF(AF196="","",COUNTIF('Stock list'!$AF$2:$AF$301,"&lt;"&amp;AF196)+1)</f>
        <v/>
      </c>
      <c r="AH196" s="41">
        <f>IF(A196="",0,IF(OR(AA196=0,AND(B196="OK",OR(C196&lt;=D196+N(O196)*Settings!$C$6,Settings!$C$10-AA196&gt;Settings!$C$8*7))),1,0))</f>
        <v/>
      </c>
      <c r="AI196" s="41">
        <f>IF(AH196=0,"",IF(AA196=0,"Never counted",IF(C196&lt;=D196+N(O196)*Settings!$C$6,"Near the reorder point","Not counted for "&amp;INT((Settings!$C$10-AA196)/7)&amp;" weeks")))</f>
        <v/>
      </c>
      <c r="AJ196" s="41">
        <f>IF(AH196=1,IFERROR(MATCH(M196,Settings!$G$19:$G$38,0),99)*1000+ROW(),"")</f>
        <v/>
      </c>
      <c r="AK196" s="41">
        <f>IF(AJ196="","",COUNTIF('Stock list'!$AJ$2:$AJ$301,"&lt;"&amp;AJ196)+1)</f>
        <v/>
      </c>
      <c r="AL196" s="41">
        <f>IF(OR(A196="",N(AC196)=0),"",AC196+ROW()/1000000)</f>
        <v/>
      </c>
    </row>
    <row r="197">
      <c r="A197" s="24" t="n"/>
      <c r="B197" s="30">
        <f>IF(A197="","",IF(AA197=0,"No count",IF(AND(N(O197)&gt;0,C197/O197*7&lt;Q197),"Critical",IF(F197&gt;0,"On order",IF(AND(D197&gt;0,C197&lt;=D197),"Order now","OK")))))</f>
        <v/>
      </c>
      <c r="C197" s="31">
        <f>IF(A197="","",MAX(0,IF(_xlfn.MAXIFS(Log!$A$2:$A$1001,Log!$B$2:$B$1001,A197,Log!$C$2:$C$1001,"Count")&gt;N(S197),_xlfn.MAXIFS(Log!$D$2:$D$1001,Log!$B$2:$B$1001,A197,Log!$C$2:$C$1001,"Count",Log!$A$2:$A$1001,AA197),N(R197))+SUMIFS(Log!$D$2:$D$1001,Log!$B$2:$B$1001,A197,Log!$C$2:$C$1001,"Received",Log!$A$2:$A$1001,"&gt;"&amp;AA197)-SUMIFS(Log!$D$2:$D$1001,Log!$B$2:$B$1001,A197,Log!$C$2:$C$1001,"Used",Log!$A$2:$A$1001,"&gt;"&amp;AA197)+SUMIFS(Log!$D$2:$D$1001,Log!$B$2:$B$1001,A197,Log!$C$2:$C$1001,"Adjustment",Log!$A$2:$A$1001,"&gt;"&amp;AA197)))</f>
        <v/>
      </c>
      <c r="D197" s="32">
        <f>IF(A197="","",IF(X197&lt;&gt;"",X197,W197))</f>
        <v/>
      </c>
      <c r="E197" s="33">
        <f>IF(OR(A197="",N(O197)=0),"",C197/O197)</f>
        <v/>
      </c>
      <c r="F197" s="31">
        <f>IF(A197="","",MAX(0,N(T197)-SUMIFS(Log!$D$2:$D$1001,Log!$B$2:$B$1001,A197,Log!$C$2:$C$1001,"Received",Log!$A$2:$A$1001,"&gt;="&amp;N(U197))))</f>
        <v/>
      </c>
      <c r="G197" s="24" t="n"/>
      <c r="H197" s="24" t="n"/>
      <c r="I197" s="24" t="n"/>
      <c r="J197" s="24" t="n"/>
      <c r="K197" s="24" t="n"/>
      <c r="L197" s="34" t="n"/>
      <c r="M197" s="24" t="n"/>
      <c r="N197" s="24" t="n"/>
      <c r="O197" s="35" t="n"/>
      <c r="P197" s="25" t="n"/>
      <c r="Q197" s="36">
        <f>IF(A197="","",IF(P197&lt;&gt;"",P197,IFERROR(IF(N(INDEX(Suppliers!$E$5:$E$24,MATCH(H197,Suppliers!$B$5:$B$24,0)))&gt;0,INDEX(Suppliers!$E$5:$E$24,MATCH(H197,Suppliers!$B$5:$B$24,0)),5),5)))</f>
        <v/>
      </c>
      <c r="R197" s="35" t="n"/>
      <c r="S197" s="37" t="n"/>
      <c r="T197" s="25" t="n"/>
      <c r="U197" s="37" t="n"/>
      <c r="V197" s="37" t="n"/>
      <c r="W197" s="36">
        <f>IF(A197="","",ROUNDUP(N(O197)*(Q197/7+Settings!$C$5),0))</f>
        <v/>
      </c>
      <c r="X197" s="25" t="n"/>
      <c r="Y197" s="25" t="n"/>
      <c r="Z197" s="32">
        <f>IF(A197="","",IF(Y197&lt;&gt;"",Y197,MAX(1,ROUNDUP(N(O197)*Settings!$C$7,0))))</f>
        <v/>
      </c>
      <c r="AA197" s="38">
        <f>IF(A197="","",MAX(N(S197),_xlfn.MAXIFS(Log!$A$2:$A$1001,Log!$B$2:$B$1001,A197,Log!$C$2:$C$1001,"Count")))</f>
        <v/>
      </c>
      <c r="AB197" s="39">
        <f>IF(A197="","",Z197*N(L197))</f>
        <v/>
      </c>
      <c r="AC197" s="40">
        <f>IF(A197="","",N(O197)*52*N(L197))</f>
        <v/>
      </c>
      <c r="AD197" s="39">
        <f>IF(A197="","",C197*N(L197))</f>
        <v/>
      </c>
      <c r="AE197" s="41">
        <f>IF(A197="",0,IF(AND(OR(B197="Order now",B197="Critical"),F197=0),1,0))</f>
        <v/>
      </c>
      <c r="AF197" s="41">
        <f>IF(AE197=1,IFERROR(MATCH(H197,Suppliers!$B$5:$B$24,0),99)*1000+ROW(),"")</f>
        <v/>
      </c>
      <c r="AG197" s="41">
        <f>IF(AF197="","",COUNTIF('Stock list'!$AF$2:$AF$301,"&lt;"&amp;AF197)+1)</f>
        <v/>
      </c>
      <c r="AH197" s="41">
        <f>IF(A197="",0,IF(OR(AA197=0,AND(B197="OK",OR(C197&lt;=D197+N(O197)*Settings!$C$6,Settings!$C$10-AA197&gt;Settings!$C$8*7))),1,0))</f>
        <v/>
      </c>
      <c r="AI197" s="41">
        <f>IF(AH197=0,"",IF(AA197=0,"Never counted",IF(C197&lt;=D197+N(O197)*Settings!$C$6,"Near the reorder point","Not counted for "&amp;INT((Settings!$C$10-AA197)/7)&amp;" weeks")))</f>
        <v/>
      </c>
      <c r="AJ197" s="41">
        <f>IF(AH197=1,IFERROR(MATCH(M197,Settings!$G$19:$G$38,0),99)*1000+ROW(),"")</f>
        <v/>
      </c>
      <c r="AK197" s="41">
        <f>IF(AJ197="","",COUNTIF('Stock list'!$AJ$2:$AJ$301,"&lt;"&amp;AJ197)+1)</f>
        <v/>
      </c>
      <c r="AL197" s="41">
        <f>IF(OR(A197="",N(AC197)=0),"",AC197+ROW()/1000000)</f>
        <v/>
      </c>
    </row>
    <row r="198">
      <c r="A198" s="24" t="n"/>
      <c r="B198" s="30">
        <f>IF(A198="","",IF(AA198=0,"No count",IF(AND(N(O198)&gt;0,C198/O198*7&lt;Q198),"Critical",IF(F198&gt;0,"On order",IF(AND(D198&gt;0,C198&lt;=D198),"Order now","OK")))))</f>
        <v/>
      </c>
      <c r="C198" s="31">
        <f>IF(A198="","",MAX(0,IF(_xlfn.MAXIFS(Log!$A$2:$A$1001,Log!$B$2:$B$1001,A198,Log!$C$2:$C$1001,"Count")&gt;N(S198),_xlfn.MAXIFS(Log!$D$2:$D$1001,Log!$B$2:$B$1001,A198,Log!$C$2:$C$1001,"Count",Log!$A$2:$A$1001,AA198),N(R198))+SUMIFS(Log!$D$2:$D$1001,Log!$B$2:$B$1001,A198,Log!$C$2:$C$1001,"Received",Log!$A$2:$A$1001,"&gt;"&amp;AA198)-SUMIFS(Log!$D$2:$D$1001,Log!$B$2:$B$1001,A198,Log!$C$2:$C$1001,"Used",Log!$A$2:$A$1001,"&gt;"&amp;AA198)+SUMIFS(Log!$D$2:$D$1001,Log!$B$2:$B$1001,A198,Log!$C$2:$C$1001,"Adjustment",Log!$A$2:$A$1001,"&gt;"&amp;AA198)))</f>
        <v/>
      </c>
      <c r="D198" s="32">
        <f>IF(A198="","",IF(X198&lt;&gt;"",X198,W198))</f>
        <v/>
      </c>
      <c r="E198" s="33">
        <f>IF(OR(A198="",N(O198)=0),"",C198/O198)</f>
        <v/>
      </c>
      <c r="F198" s="31">
        <f>IF(A198="","",MAX(0,N(T198)-SUMIFS(Log!$D$2:$D$1001,Log!$B$2:$B$1001,A198,Log!$C$2:$C$1001,"Received",Log!$A$2:$A$1001,"&gt;="&amp;N(U198))))</f>
        <v/>
      </c>
      <c r="G198" s="24" t="n"/>
      <c r="H198" s="24" t="n"/>
      <c r="I198" s="24" t="n"/>
      <c r="J198" s="24" t="n"/>
      <c r="K198" s="24" t="n"/>
      <c r="L198" s="34" t="n"/>
      <c r="M198" s="24" t="n"/>
      <c r="N198" s="24" t="n"/>
      <c r="O198" s="35" t="n"/>
      <c r="P198" s="25" t="n"/>
      <c r="Q198" s="36">
        <f>IF(A198="","",IF(P198&lt;&gt;"",P198,IFERROR(IF(N(INDEX(Suppliers!$E$5:$E$24,MATCH(H198,Suppliers!$B$5:$B$24,0)))&gt;0,INDEX(Suppliers!$E$5:$E$24,MATCH(H198,Suppliers!$B$5:$B$24,0)),5),5)))</f>
        <v/>
      </c>
      <c r="R198" s="35" t="n"/>
      <c r="S198" s="37" t="n"/>
      <c r="T198" s="25" t="n"/>
      <c r="U198" s="37" t="n"/>
      <c r="V198" s="37" t="n"/>
      <c r="W198" s="36">
        <f>IF(A198="","",ROUNDUP(N(O198)*(Q198/7+Settings!$C$5),0))</f>
        <v/>
      </c>
      <c r="X198" s="25" t="n"/>
      <c r="Y198" s="25" t="n"/>
      <c r="Z198" s="32">
        <f>IF(A198="","",IF(Y198&lt;&gt;"",Y198,MAX(1,ROUNDUP(N(O198)*Settings!$C$7,0))))</f>
        <v/>
      </c>
      <c r="AA198" s="38">
        <f>IF(A198="","",MAX(N(S198),_xlfn.MAXIFS(Log!$A$2:$A$1001,Log!$B$2:$B$1001,A198,Log!$C$2:$C$1001,"Count")))</f>
        <v/>
      </c>
      <c r="AB198" s="39">
        <f>IF(A198="","",Z198*N(L198))</f>
        <v/>
      </c>
      <c r="AC198" s="40">
        <f>IF(A198="","",N(O198)*52*N(L198))</f>
        <v/>
      </c>
      <c r="AD198" s="39">
        <f>IF(A198="","",C198*N(L198))</f>
        <v/>
      </c>
      <c r="AE198" s="41">
        <f>IF(A198="",0,IF(AND(OR(B198="Order now",B198="Critical"),F198=0),1,0))</f>
        <v/>
      </c>
      <c r="AF198" s="41">
        <f>IF(AE198=1,IFERROR(MATCH(H198,Suppliers!$B$5:$B$24,0),99)*1000+ROW(),"")</f>
        <v/>
      </c>
      <c r="AG198" s="41">
        <f>IF(AF198="","",COUNTIF('Stock list'!$AF$2:$AF$301,"&lt;"&amp;AF198)+1)</f>
        <v/>
      </c>
      <c r="AH198" s="41">
        <f>IF(A198="",0,IF(OR(AA198=0,AND(B198="OK",OR(C198&lt;=D198+N(O198)*Settings!$C$6,Settings!$C$10-AA198&gt;Settings!$C$8*7))),1,0))</f>
        <v/>
      </c>
      <c r="AI198" s="41">
        <f>IF(AH198=0,"",IF(AA198=0,"Never counted",IF(C198&lt;=D198+N(O198)*Settings!$C$6,"Near the reorder point","Not counted for "&amp;INT((Settings!$C$10-AA198)/7)&amp;" weeks")))</f>
        <v/>
      </c>
      <c r="AJ198" s="41">
        <f>IF(AH198=1,IFERROR(MATCH(M198,Settings!$G$19:$G$38,0),99)*1000+ROW(),"")</f>
        <v/>
      </c>
      <c r="AK198" s="41">
        <f>IF(AJ198="","",COUNTIF('Stock list'!$AJ$2:$AJ$301,"&lt;"&amp;AJ198)+1)</f>
        <v/>
      </c>
      <c r="AL198" s="41">
        <f>IF(OR(A198="",N(AC198)=0),"",AC198+ROW()/1000000)</f>
        <v/>
      </c>
    </row>
    <row r="199">
      <c r="A199" s="24" t="n"/>
      <c r="B199" s="30">
        <f>IF(A199="","",IF(AA199=0,"No count",IF(AND(N(O199)&gt;0,C199/O199*7&lt;Q199),"Critical",IF(F199&gt;0,"On order",IF(AND(D199&gt;0,C199&lt;=D199),"Order now","OK")))))</f>
        <v/>
      </c>
      <c r="C199" s="31">
        <f>IF(A199="","",MAX(0,IF(_xlfn.MAXIFS(Log!$A$2:$A$1001,Log!$B$2:$B$1001,A199,Log!$C$2:$C$1001,"Count")&gt;N(S199),_xlfn.MAXIFS(Log!$D$2:$D$1001,Log!$B$2:$B$1001,A199,Log!$C$2:$C$1001,"Count",Log!$A$2:$A$1001,AA199),N(R199))+SUMIFS(Log!$D$2:$D$1001,Log!$B$2:$B$1001,A199,Log!$C$2:$C$1001,"Received",Log!$A$2:$A$1001,"&gt;"&amp;AA199)-SUMIFS(Log!$D$2:$D$1001,Log!$B$2:$B$1001,A199,Log!$C$2:$C$1001,"Used",Log!$A$2:$A$1001,"&gt;"&amp;AA199)+SUMIFS(Log!$D$2:$D$1001,Log!$B$2:$B$1001,A199,Log!$C$2:$C$1001,"Adjustment",Log!$A$2:$A$1001,"&gt;"&amp;AA199)))</f>
        <v/>
      </c>
      <c r="D199" s="32">
        <f>IF(A199="","",IF(X199&lt;&gt;"",X199,W199))</f>
        <v/>
      </c>
      <c r="E199" s="33">
        <f>IF(OR(A199="",N(O199)=0),"",C199/O199)</f>
        <v/>
      </c>
      <c r="F199" s="31">
        <f>IF(A199="","",MAX(0,N(T199)-SUMIFS(Log!$D$2:$D$1001,Log!$B$2:$B$1001,A199,Log!$C$2:$C$1001,"Received",Log!$A$2:$A$1001,"&gt;="&amp;N(U199))))</f>
        <v/>
      </c>
      <c r="G199" s="24" t="n"/>
      <c r="H199" s="24" t="n"/>
      <c r="I199" s="24" t="n"/>
      <c r="J199" s="24" t="n"/>
      <c r="K199" s="24" t="n"/>
      <c r="L199" s="34" t="n"/>
      <c r="M199" s="24" t="n"/>
      <c r="N199" s="24" t="n"/>
      <c r="O199" s="35" t="n"/>
      <c r="P199" s="25" t="n"/>
      <c r="Q199" s="36">
        <f>IF(A199="","",IF(P199&lt;&gt;"",P199,IFERROR(IF(N(INDEX(Suppliers!$E$5:$E$24,MATCH(H199,Suppliers!$B$5:$B$24,0)))&gt;0,INDEX(Suppliers!$E$5:$E$24,MATCH(H199,Suppliers!$B$5:$B$24,0)),5),5)))</f>
        <v/>
      </c>
      <c r="R199" s="35" t="n"/>
      <c r="S199" s="37" t="n"/>
      <c r="T199" s="25" t="n"/>
      <c r="U199" s="37" t="n"/>
      <c r="V199" s="37" t="n"/>
      <c r="W199" s="36">
        <f>IF(A199="","",ROUNDUP(N(O199)*(Q199/7+Settings!$C$5),0))</f>
        <v/>
      </c>
      <c r="X199" s="25" t="n"/>
      <c r="Y199" s="25" t="n"/>
      <c r="Z199" s="32">
        <f>IF(A199="","",IF(Y199&lt;&gt;"",Y199,MAX(1,ROUNDUP(N(O199)*Settings!$C$7,0))))</f>
        <v/>
      </c>
      <c r="AA199" s="38">
        <f>IF(A199="","",MAX(N(S199),_xlfn.MAXIFS(Log!$A$2:$A$1001,Log!$B$2:$B$1001,A199,Log!$C$2:$C$1001,"Count")))</f>
        <v/>
      </c>
      <c r="AB199" s="39">
        <f>IF(A199="","",Z199*N(L199))</f>
        <v/>
      </c>
      <c r="AC199" s="40">
        <f>IF(A199="","",N(O199)*52*N(L199))</f>
        <v/>
      </c>
      <c r="AD199" s="39">
        <f>IF(A199="","",C199*N(L199))</f>
        <v/>
      </c>
      <c r="AE199" s="41">
        <f>IF(A199="",0,IF(AND(OR(B199="Order now",B199="Critical"),F199=0),1,0))</f>
        <v/>
      </c>
      <c r="AF199" s="41">
        <f>IF(AE199=1,IFERROR(MATCH(H199,Suppliers!$B$5:$B$24,0),99)*1000+ROW(),"")</f>
        <v/>
      </c>
      <c r="AG199" s="41">
        <f>IF(AF199="","",COUNTIF('Stock list'!$AF$2:$AF$301,"&lt;"&amp;AF199)+1)</f>
        <v/>
      </c>
      <c r="AH199" s="41">
        <f>IF(A199="",0,IF(OR(AA199=0,AND(B199="OK",OR(C199&lt;=D199+N(O199)*Settings!$C$6,Settings!$C$10-AA199&gt;Settings!$C$8*7))),1,0))</f>
        <v/>
      </c>
      <c r="AI199" s="41">
        <f>IF(AH199=0,"",IF(AA199=0,"Never counted",IF(C199&lt;=D199+N(O199)*Settings!$C$6,"Near the reorder point","Not counted for "&amp;INT((Settings!$C$10-AA199)/7)&amp;" weeks")))</f>
        <v/>
      </c>
      <c r="AJ199" s="41">
        <f>IF(AH199=1,IFERROR(MATCH(M199,Settings!$G$19:$G$38,0),99)*1000+ROW(),"")</f>
        <v/>
      </c>
      <c r="AK199" s="41">
        <f>IF(AJ199="","",COUNTIF('Stock list'!$AJ$2:$AJ$301,"&lt;"&amp;AJ199)+1)</f>
        <v/>
      </c>
      <c r="AL199" s="41">
        <f>IF(OR(A199="",N(AC199)=0),"",AC199+ROW()/1000000)</f>
        <v/>
      </c>
    </row>
    <row r="200">
      <c r="A200" s="24" t="n"/>
      <c r="B200" s="30">
        <f>IF(A200="","",IF(AA200=0,"No count",IF(AND(N(O200)&gt;0,C200/O200*7&lt;Q200),"Critical",IF(F200&gt;0,"On order",IF(AND(D200&gt;0,C200&lt;=D200),"Order now","OK")))))</f>
        <v/>
      </c>
      <c r="C200" s="31">
        <f>IF(A200="","",MAX(0,IF(_xlfn.MAXIFS(Log!$A$2:$A$1001,Log!$B$2:$B$1001,A200,Log!$C$2:$C$1001,"Count")&gt;N(S200),_xlfn.MAXIFS(Log!$D$2:$D$1001,Log!$B$2:$B$1001,A200,Log!$C$2:$C$1001,"Count",Log!$A$2:$A$1001,AA200),N(R200))+SUMIFS(Log!$D$2:$D$1001,Log!$B$2:$B$1001,A200,Log!$C$2:$C$1001,"Received",Log!$A$2:$A$1001,"&gt;"&amp;AA200)-SUMIFS(Log!$D$2:$D$1001,Log!$B$2:$B$1001,A200,Log!$C$2:$C$1001,"Used",Log!$A$2:$A$1001,"&gt;"&amp;AA200)+SUMIFS(Log!$D$2:$D$1001,Log!$B$2:$B$1001,A200,Log!$C$2:$C$1001,"Adjustment",Log!$A$2:$A$1001,"&gt;"&amp;AA200)))</f>
        <v/>
      </c>
      <c r="D200" s="32">
        <f>IF(A200="","",IF(X200&lt;&gt;"",X200,W200))</f>
        <v/>
      </c>
      <c r="E200" s="33">
        <f>IF(OR(A200="",N(O200)=0),"",C200/O200)</f>
        <v/>
      </c>
      <c r="F200" s="31">
        <f>IF(A200="","",MAX(0,N(T200)-SUMIFS(Log!$D$2:$D$1001,Log!$B$2:$B$1001,A200,Log!$C$2:$C$1001,"Received",Log!$A$2:$A$1001,"&gt;="&amp;N(U200))))</f>
        <v/>
      </c>
      <c r="G200" s="24" t="n"/>
      <c r="H200" s="24" t="n"/>
      <c r="I200" s="24" t="n"/>
      <c r="J200" s="24" t="n"/>
      <c r="K200" s="24" t="n"/>
      <c r="L200" s="34" t="n"/>
      <c r="M200" s="24" t="n"/>
      <c r="N200" s="24" t="n"/>
      <c r="O200" s="35" t="n"/>
      <c r="P200" s="25" t="n"/>
      <c r="Q200" s="36">
        <f>IF(A200="","",IF(P200&lt;&gt;"",P200,IFERROR(IF(N(INDEX(Suppliers!$E$5:$E$24,MATCH(H200,Suppliers!$B$5:$B$24,0)))&gt;0,INDEX(Suppliers!$E$5:$E$24,MATCH(H200,Suppliers!$B$5:$B$24,0)),5),5)))</f>
        <v/>
      </c>
      <c r="R200" s="35" t="n"/>
      <c r="S200" s="37" t="n"/>
      <c r="T200" s="25" t="n"/>
      <c r="U200" s="37" t="n"/>
      <c r="V200" s="37" t="n"/>
      <c r="W200" s="36">
        <f>IF(A200="","",ROUNDUP(N(O200)*(Q200/7+Settings!$C$5),0))</f>
        <v/>
      </c>
      <c r="X200" s="25" t="n"/>
      <c r="Y200" s="25" t="n"/>
      <c r="Z200" s="32">
        <f>IF(A200="","",IF(Y200&lt;&gt;"",Y200,MAX(1,ROUNDUP(N(O200)*Settings!$C$7,0))))</f>
        <v/>
      </c>
      <c r="AA200" s="38">
        <f>IF(A200="","",MAX(N(S200),_xlfn.MAXIFS(Log!$A$2:$A$1001,Log!$B$2:$B$1001,A200,Log!$C$2:$C$1001,"Count")))</f>
        <v/>
      </c>
      <c r="AB200" s="39">
        <f>IF(A200="","",Z200*N(L200))</f>
        <v/>
      </c>
      <c r="AC200" s="40">
        <f>IF(A200="","",N(O200)*52*N(L200))</f>
        <v/>
      </c>
      <c r="AD200" s="39">
        <f>IF(A200="","",C200*N(L200))</f>
        <v/>
      </c>
      <c r="AE200" s="41">
        <f>IF(A200="",0,IF(AND(OR(B200="Order now",B200="Critical"),F200=0),1,0))</f>
        <v/>
      </c>
      <c r="AF200" s="41">
        <f>IF(AE200=1,IFERROR(MATCH(H200,Suppliers!$B$5:$B$24,0),99)*1000+ROW(),"")</f>
        <v/>
      </c>
      <c r="AG200" s="41">
        <f>IF(AF200="","",COUNTIF('Stock list'!$AF$2:$AF$301,"&lt;"&amp;AF200)+1)</f>
        <v/>
      </c>
      <c r="AH200" s="41">
        <f>IF(A200="",0,IF(OR(AA200=0,AND(B200="OK",OR(C200&lt;=D200+N(O200)*Settings!$C$6,Settings!$C$10-AA200&gt;Settings!$C$8*7))),1,0))</f>
        <v/>
      </c>
      <c r="AI200" s="41">
        <f>IF(AH200=0,"",IF(AA200=0,"Never counted",IF(C200&lt;=D200+N(O200)*Settings!$C$6,"Near the reorder point","Not counted for "&amp;INT((Settings!$C$10-AA200)/7)&amp;" weeks")))</f>
        <v/>
      </c>
      <c r="AJ200" s="41">
        <f>IF(AH200=1,IFERROR(MATCH(M200,Settings!$G$19:$G$38,0),99)*1000+ROW(),"")</f>
        <v/>
      </c>
      <c r="AK200" s="41">
        <f>IF(AJ200="","",COUNTIF('Stock list'!$AJ$2:$AJ$301,"&lt;"&amp;AJ200)+1)</f>
        <v/>
      </c>
      <c r="AL200" s="41">
        <f>IF(OR(A200="",N(AC200)=0),"",AC200+ROW()/1000000)</f>
        <v/>
      </c>
    </row>
    <row r="201">
      <c r="A201" s="24" t="n"/>
      <c r="B201" s="30">
        <f>IF(A201="","",IF(AA201=0,"No count",IF(AND(N(O201)&gt;0,C201/O201*7&lt;Q201),"Critical",IF(F201&gt;0,"On order",IF(AND(D201&gt;0,C201&lt;=D201),"Order now","OK")))))</f>
        <v/>
      </c>
      <c r="C201" s="31">
        <f>IF(A201="","",MAX(0,IF(_xlfn.MAXIFS(Log!$A$2:$A$1001,Log!$B$2:$B$1001,A201,Log!$C$2:$C$1001,"Count")&gt;N(S201),_xlfn.MAXIFS(Log!$D$2:$D$1001,Log!$B$2:$B$1001,A201,Log!$C$2:$C$1001,"Count",Log!$A$2:$A$1001,AA201),N(R201))+SUMIFS(Log!$D$2:$D$1001,Log!$B$2:$B$1001,A201,Log!$C$2:$C$1001,"Received",Log!$A$2:$A$1001,"&gt;"&amp;AA201)-SUMIFS(Log!$D$2:$D$1001,Log!$B$2:$B$1001,A201,Log!$C$2:$C$1001,"Used",Log!$A$2:$A$1001,"&gt;"&amp;AA201)+SUMIFS(Log!$D$2:$D$1001,Log!$B$2:$B$1001,A201,Log!$C$2:$C$1001,"Adjustment",Log!$A$2:$A$1001,"&gt;"&amp;AA201)))</f>
        <v/>
      </c>
      <c r="D201" s="32">
        <f>IF(A201="","",IF(X201&lt;&gt;"",X201,W201))</f>
        <v/>
      </c>
      <c r="E201" s="33">
        <f>IF(OR(A201="",N(O201)=0),"",C201/O201)</f>
        <v/>
      </c>
      <c r="F201" s="31">
        <f>IF(A201="","",MAX(0,N(T201)-SUMIFS(Log!$D$2:$D$1001,Log!$B$2:$B$1001,A201,Log!$C$2:$C$1001,"Received",Log!$A$2:$A$1001,"&gt;="&amp;N(U201))))</f>
        <v/>
      </c>
      <c r="G201" s="24" t="n"/>
      <c r="H201" s="24" t="n"/>
      <c r="I201" s="24" t="n"/>
      <c r="J201" s="24" t="n"/>
      <c r="K201" s="24" t="n"/>
      <c r="L201" s="34" t="n"/>
      <c r="M201" s="24" t="n"/>
      <c r="N201" s="24" t="n"/>
      <c r="O201" s="35" t="n"/>
      <c r="P201" s="25" t="n"/>
      <c r="Q201" s="36">
        <f>IF(A201="","",IF(P201&lt;&gt;"",P201,IFERROR(IF(N(INDEX(Suppliers!$E$5:$E$24,MATCH(H201,Suppliers!$B$5:$B$24,0)))&gt;0,INDEX(Suppliers!$E$5:$E$24,MATCH(H201,Suppliers!$B$5:$B$24,0)),5),5)))</f>
        <v/>
      </c>
      <c r="R201" s="35" t="n"/>
      <c r="S201" s="37" t="n"/>
      <c r="T201" s="25" t="n"/>
      <c r="U201" s="37" t="n"/>
      <c r="V201" s="37" t="n"/>
      <c r="W201" s="36">
        <f>IF(A201="","",ROUNDUP(N(O201)*(Q201/7+Settings!$C$5),0))</f>
        <v/>
      </c>
      <c r="X201" s="25" t="n"/>
      <c r="Y201" s="25" t="n"/>
      <c r="Z201" s="32">
        <f>IF(A201="","",IF(Y201&lt;&gt;"",Y201,MAX(1,ROUNDUP(N(O201)*Settings!$C$7,0))))</f>
        <v/>
      </c>
      <c r="AA201" s="38">
        <f>IF(A201="","",MAX(N(S201),_xlfn.MAXIFS(Log!$A$2:$A$1001,Log!$B$2:$B$1001,A201,Log!$C$2:$C$1001,"Count")))</f>
        <v/>
      </c>
      <c r="AB201" s="39">
        <f>IF(A201="","",Z201*N(L201))</f>
        <v/>
      </c>
      <c r="AC201" s="40">
        <f>IF(A201="","",N(O201)*52*N(L201))</f>
        <v/>
      </c>
      <c r="AD201" s="39">
        <f>IF(A201="","",C201*N(L201))</f>
        <v/>
      </c>
      <c r="AE201" s="41">
        <f>IF(A201="",0,IF(AND(OR(B201="Order now",B201="Critical"),F201=0),1,0))</f>
        <v/>
      </c>
      <c r="AF201" s="41">
        <f>IF(AE201=1,IFERROR(MATCH(H201,Suppliers!$B$5:$B$24,0),99)*1000+ROW(),"")</f>
        <v/>
      </c>
      <c r="AG201" s="41">
        <f>IF(AF201="","",COUNTIF('Stock list'!$AF$2:$AF$301,"&lt;"&amp;AF201)+1)</f>
        <v/>
      </c>
      <c r="AH201" s="41">
        <f>IF(A201="",0,IF(OR(AA201=0,AND(B201="OK",OR(C201&lt;=D201+N(O201)*Settings!$C$6,Settings!$C$10-AA201&gt;Settings!$C$8*7))),1,0))</f>
        <v/>
      </c>
      <c r="AI201" s="41">
        <f>IF(AH201=0,"",IF(AA201=0,"Never counted",IF(C201&lt;=D201+N(O201)*Settings!$C$6,"Near the reorder point","Not counted for "&amp;INT((Settings!$C$10-AA201)/7)&amp;" weeks")))</f>
        <v/>
      </c>
      <c r="AJ201" s="41">
        <f>IF(AH201=1,IFERROR(MATCH(M201,Settings!$G$19:$G$38,0),99)*1000+ROW(),"")</f>
        <v/>
      </c>
      <c r="AK201" s="41">
        <f>IF(AJ201="","",COUNTIF('Stock list'!$AJ$2:$AJ$301,"&lt;"&amp;AJ201)+1)</f>
        <v/>
      </c>
      <c r="AL201" s="41">
        <f>IF(OR(A201="",N(AC201)=0),"",AC201+ROW()/1000000)</f>
        <v/>
      </c>
    </row>
    <row r="202">
      <c r="A202" s="24" t="n"/>
      <c r="B202" s="30">
        <f>IF(A202="","",IF(AA202=0,"No count",IF(AND(N(O202)&gt;0,C202/O202*7&lt;Q202),"Critical",IF(F202&gt;0,"On order",IF(AND(D202&gt;0,C202&lt;=D202),"Order now","OK")))))</f>
        <v/>
      </c>
      <c r="C202" s="31">
        <f>IF(A202="","",MAX(0,IF(_xlfn.MAXIFS(Log!$A$2:$A$1001,Log!$B$2:$B$1001,A202,Log!$C$2:$C$1001,"Count")&gt;N(S202),_xlfn.MAXIFS(Log!$D$2:$D$1001,Log!$B$2:$B$1001,A202,Log!$C$2:$C$1001,"Count",Log!$A$2:$A$1001,AA202),N(R202))+SUMIFS(Log!$D$2:$D$1001,Log!$B$2:$B$1001,A202,Log!$C$2:$C$1001,"Received",Log!$A$2:$A$1001,"&gt;"&amp;AA202)-SUMIFS(Log!$D$2:$D$1001,Log!$B$2:$B$1001,A202,Log!$C$2:$C$1001,"Used",Log!$A$2:$A$1001,"&gt;"&amp;AA202)+SUMIFS(Log!$D$2:$D$1001,Log!$B$2:$B$1001,A202,Log!$C$2:$C$1001,"Adjustment",Log!$A$2:$A$1001,"&gt;"&amp;AA202)))</f>
        <v/>
      </c>
      <c r="D202" s="32">
        <f>IF(A202="","",IF(X202&lt;&gt;"",X202,W202))</f>
        <v/>
      </c>
      <c r="E202" s="33">
        <f>IF(OR(A202="",N(O202)=0),"",C202/O202)</f>
        <v/>
      </c>
      <c r="F202" s="31">
        <f>IF(A202="","",MAX(0,N(T202)-SUMIFS(Log!$D$2:$D$1001,Log!$B$2:$B$1001,A202,Log!$C$2:$C$1001,"Received",Log!$A$2:$A$1001,"&gt;="&amp;N(U202))))</f>
        <v/>
      </c>
      <c r="G202" s="24" t="n"/>
      <c r="H202" s="24" t="n"/>
      <c r="I202" s="24" t="n"/>
      <c r="J202" s="24" t="n"/>
      <c r="K202" s="24" t="n"/>
      <c r="L202" s="34" t="n"/>
      <c r="M202" s="24" t="n"/>
      <c r="N202" s="24" t="n"/>
      <c r="O202" s="35" t="n"/>
      <c r="P202" s="25" t="n"/>
      <c r="Q202" s="36">
        <f>IF(A202="","",IF(P202&lt;&gt;"",P202,IFERROR(IF(N(INDEX(Suppliers!$E$5:$E$24,MATCH(H202,Suppliers!$B$5:$B$24,0)))&gt;0,INDEX(Suppliers!$E$5:$E$24,MATCH(H202,Suppliers!$B$5:$B$24,0)),5),5)))</f>
        <v/>
      </c>
      <c r="R202" s="35" t="n"/>
      <c r="S202" s="37" t="n"/>
      <c r="T202" s="25" t="n"/>
      <c r="U202" s="37" t="n"/>
      <c r="V202" s="37" t="n"/>
      <c r="W202" s="36">
        <f>IF(A202="","",ROUNDUP(N(O202)*(Q202/7+Settings!$C$5),0))</f>
        <v/>
      </c>
      <c r="X202" s="25" t="n"/>
      <c r="Y202" s="25" t="n"/>
      <c r="Z202" s="32">
        <f>IF(A202="","",IF(Y202&lt;&gt;"",Y202,MAX(1,ROUNDUP(N(O202)*Settings!$C$7,0))))</f>
        <v/>
      </c>
      <c r="AA202" s="38">
        <f>IF(A202="","",MAX(N(S202),_xlfn.MAXIFS(Log!$A$2:$A$1001,Log!$B$2:$B$1001,A202,Log!$C$2:$C$1001,"Count")))</f>
        <v/>
      </c>
      <c r="AB202" s="39">
        <f>IF(A202="","",Z202*N(L202))</f>
        <v/>
      </c>
      <c r="AC202" s="40">
        <f>IF(A202="","",N(O202)*52*N(L202))</f>
        <v/>
      </c>
      <c r="AD202" s="39">
        <f>IF(A202="","",C202*N(L202))</f>
        <v/>
      </c>
      <c r="AE202" s="41">
        <f>IF(A202="",0,IF(AND(OR(B202="Order now",B202="Critical"),F202=0),1,0))</f>
        <v/>
      </c>
      <c r="AF202" s="41">
        <f>IF(AE202=1,IFERROR(MATCH(H202,Suppliers!$B$5:$B$24,0),99)*1000+ROW(),"")</f>
        <v/>
      </c>
      <c r="AG202" s="41">
        <f>IF(AF202="","",COUNTIF('Stock list'!$AF$2:$AF$301,"&lt;"&amp;AF202)+1)</f>
        <v/>
      </c>
      <c r="AH202" s="41">
        <f>IF(A202="",0,IF(OR(AA202=0,AND(B202="OK",OR(C202&lt;=D202+N(O202)*Settings!$C$6,Settings!$C$10-AA202&gt;Settings!$C$8*7))),1,0))</f>
        <v/>
      </c>
      <c r="AI202" s="41">
        <f>IF(AH202=0,"",IF(AA202=0,"Never counted",IF(C202&lt;=D202+N(O202)*Settings!$C$6,"Near the reorder point","Not counted for "&amp;INT((Settings!$C$10-AA202)/7)&amp;" weeks")))</f>
        <v/>
      </c>
      <c r="AJ202" s="41">
        <f>IF(AH202=1,IFERROR(MATCH(M202,Settings!$G$19:$G$38,0),99)*1000+ROW(),"")</f>
        <v/>
      </c>
      <c r="AK202" s="41">
        <f>IF(AJ202="","",COUNTIF('Stock list'!$AJ$2:$AJ$301,"&lt;"&amp;AJ202)+1)</f>
        <v/>
      </c>
      <c r="AL202" s="41">
        <f>IF(OR(A202="",N(AC202)=0),"",AC202+ROW()/1000000)</f>
        <v/>
      </c>
    </row>
    <row r="203">
      <c r="A203" s="24" t="n"/>
      <c r="B203" s="30">
        <f>IF(A203="","",IF(AA203=0,"No count",IF(AND(N(O203)&gt;0,C203/O203*7&lt;Q203),"Critical",IF(F203&gt;0,"On order",IF(AND(D203&gt;0,C203&lt;=D203),"Order now","OK")))))</f>
        <v/>
      </c>
      <c r="C203" s="31">
        <f>IF(A203="","",MAX(0,IF(_xlfn.MAXIFS(Log!$A$2:$A$1001,Log!$B$2:$B$1001,A203,Log!$C$2:$C$1001,"Count")&gt;N(S203),_xlfn.MAXIFS(Log!$D$2:$D$1001,Log!$B$2:$B$1001,A203,Log!$C$2:$C$1001,"Count",Log!$A$2:$A$1001,AA203),N(R203))+SUMIFS(Log!$D$2:$D$1001,Log!$B$2:$B$1001,A203,Log!$C$2:$C$1001,"Received",Log!$A$2:$A$1001,"&gt;"&amp;AA203)-SUMIFS(Log!$D$2:$D$1001,Log!$B$2:$B$1001,A203,Log!$C$2:$C$1001,"Used",Log!$A$2:$A$1001,"&gt;"&amp;AA203)+SUMIFS(Log!$D$2:$D$1001,Log!$B$2:$B$1001,A203,Log!$C$2:$C$1001,"Adjustment",Log!$A$2:$A$1001,"&gt;"&amp;AA203)))</f>
        <v/>
      </c>
      <c r="D203" s="32">
        <f>IF(A203="","",IF(X203&lt;&gt;"",X203,W203))</f>
        <v/>
      </c>
      <c r="E203" s="33">
        <f>IF(OR(A203="",N(O203)=0),"",C203/O203)</f>
        <v/>
      </c>
      <c r="F203" s="31">
        <f>IF(A203="","",MAX(0,N(T203)-SUMIFS(Log!$D$2:$D$1001,Log!$B$2:$B$1001,A203,Log!$C$2:$C$1001,"Received",Log!$A$2:$A$1001,"&gt;="&amp;N(U203))))</f>
        <v/>
      </c>
      <c r="G203" s="24" t="n"/>
      <c r="H203" s="24" t="n"/>
      <c r="I203" s="24" t="n"/>
      <c r="J203" s="24" t="n"/>
      <c r="K203" s="24" t="n"/>
      <c r="L203" s="34" t="n"/>
      <c r="M203" s="24" t="n"/>
      <c r="N203" s="24" t="n"/>
      <c r="O203" s="35" t="n"/>
      <c r="P203" s="25" t="n"/>
      <c r="Q203" s="36">
        <f>IF(A203="","",IF(P203&lt;&gt;"",P203,IFERROR(IF(N(INDEX(Suppliers!$E$5:$E$24,MATCH(H203,Suppliers!$B$5:$B$24,0)))&gt;0,INDEX(Suppliers!$E$5:$E$24,MATCH(H203,Suppliers!$B$5:$B$24,0)),5),5)))</f>
        <v/>
      </c>
      <c r="R203" s="35" t="n"/>
      <c r="S203" s="37" t="n"/>
      <c r="T203" s="25" t="n"/>
      <c r="U203" s="37" t="n"/>
      <c r="V203" s="37" t="n"/>
      <c r="W203" s="36">
        <f>IF(A203="","",ROUNDUP(N(O203)*(Q203/7+Settings!$C$5),0))</f>
        <v/>
      </c>
      <c r="X203" s="25" t="n"/>
      <c r="Y203" s="25" t="n"/>
      <c r="Z203" s="32">
        <f>IF(A203="","",IF(Y203&lt;&gt;"",Y203,MAX(1,ROUNDUP(N(O203)*Settings!$C$7,0))))</f>
        <v/>
      </c>
      <c r="AA203" s="38">
        <f>IF(A203="","",MAX(N(S203),_xlfn.MAXIFS(Log!$A$2:$A$1001,Log!$B$2:$B$1001,A203,Log!$C$2:$C$1001,"Count")))</f>
        <v/>
      </c>
      <c r="AB203" s="39">
        <f>IF(A203="","",Z203*N(L203))</f>
        <v/>
      </c>
      <c r="AC203" s="40">
        <f>IF(A203="","",N(O203)*52*N(L203))</f>
        <v/>
      </c>
      <c r="AD203" s="39">
        <f>IF(A203="","",C203*N(L203))</f>
        <v/>
      </c>
      <c r="AE203" s="41">
        <f>IF(A203="",0,IF(AND(OR(B203="Order now",B203="Critical"),F203=0),1,0))</f>
        <v/>
      </c>
      <c r="AF203" s="41">
        <f>IF(AE203=1,IFERROR(MATCH(H203,Suppliers!$B$5:$B$24,0),99)*1000+ROW(),"")</f>
        <v/>
      </c>
      <c r="AG203" s="41">
        <f>IF(AF203="","",COUNTIF('Stock list'!$AF$2:$AF$301,"&lt;"&amp;AF203)+1)</f>
        <v/>
      </c>
      <c r="AH203" s="41">
        <f>IF(A203="",0,IF(OR(AA203=0,AND(B203="OK",OR(C203&lt;=D203+N(O203)*Settings!$C$6,Settings!$C$10-AA203&gt;Settings!$C$8*7))),1,0))</f>
        <v/>
      </c>
      <c r="AI203" s="41">
        <f>IF(AH203=0,"",IF(AA203=0,"Never counted",IF(C203&lt;=D203+N(O203)*Settings!$C$6,"Near the reorder point","Not counted for "&amp;INT((Settings!$C$10-AA203)/7)&amp;" weeks")))</f>
        <v/>
      </c>
      <c r="AJ203" s="41">
        <f>IF(AH203=1,IFERROR(MATCH(M203,Settings!$G$19:$G$38,0),99)*1000+ROW(),"")</f>
        <v/>
      </c>
      <c r="AK203" s="41">
        <f>IF(AJ203="","",COUNTIF('Stock list'!$AJ$2:$AJ$301,"&lt;"&amp;AJ203)+1)</f>
        <v/>
      </c>
      <c r="AL203" s="41">
        <f>IF(OR(A203="",N(AC203)=0),"",AC203+ROW()/1000000)</f>
        <v/>
      </c>
    </row>
    <row r="204">
      <c r="A204" s="24" t="n"/>
      <c r="B204" s="30">
        <f>IF(A204="","",IF(AA204=0,"No count",IF(AND(N(O204)&gt;0,C204/O204*7&lt;Q204),"Critical",IF(F204&gt;0,"On order",IF(AND(D204&gt;0,C204&lt;=D204),"Order now","OK")))))</f>
        <v/>
      </c>
      <c r="C204" s="31">
        <f>IF(A204="","",MAX(0,IF(_xlfn.MAXIFS(Log!$A$2:$A$1001,Log!$B$2:$B$1001,A204,Log!$C$2:$C$1001,"Count")&gt;N(S204),_xlfn.MAXIFS(Log!$D$2:$D$1001,Log!$B$2:$B$1001,A204,Log!$C$2:$C$1001,"Count",Log!$A$2:$A$1001,AA204),N(R204))+SUMIFS(Log!$D$2:$D$1001,Log!$B$2:$B$1001,A204,Log!$C$2:$C$1001,"Received",Log!$A$2:$A$1001,"&gt;"&amp;AA204)-SUMIFS(Log!$D$2:$D$1001,Log!$B$2:$B$1001,A204,Log!$C$2:$C$1001,"Used",Log!$A$2:$A$1001,"&gt;"&amp;AA204)+SUMIFS(Log!$D$2:$D$1001,Log!$B$2:$B$1001,A204,Log!$C$2:$C$1001,"Adjustment",Log!$A$2:$A$1001,"&gt;"&amp;AA204)))</f>
        <v/>
      </c>
      <c r="D204" s="32">
        <f>IF(A204="","",IF(X204&lt;&gt;"",X204,W204))</f>
        <v/>
      </c>
      <c r="E204" s="33">
        <f>IF(OR(A204="",N(O204)=0),"",C204/O204)</f>
        <v/>
      </c>
      <c r="F204" s="31">
        <f>IF(A204="","",MAX(0,N(T204)-SUMIFS(Log!$D$2:$D$1001,Log!$B$2:$B$1001,A204,Log!$C$2:$C$1001,"Received",Log!$A$2:$A$1001,"&gt;="&amp;N(U204))))</f>
        <v/>
      </c>
      <c r="G204" s="24" t="n"/>
      <c r="H204" s="24" t="n"/>
      <c r="I204" s="24" t="n"/>
      <c r="J204" s="24" t="n"/>
      <c r="K204" s="24" t="n"/>
      <c r="L204" s="34" t="n"/>
      <c r="M204" s="24" t="n"/>
      <c r="N204" s="24" t="n"/>
      <c r="O204" s="35" t="n"/>
      <c r="P204" s="25" t="n"/>
      <c r="Q204" s="36">
        <f>IF(A204="","",IF(P204&lt;&gt;"",P204,IFERROR(IF(N(INDEX(Suppliers!$E$5:$E$24,MATCH(H204,Suppliers!$B$5:$B$24,0)))&gt;0,INDEX(Suppliers!$E$5:$E$24,MATCH(H204,Suppliers!$B$5:$B$24,0)),5),5)))</f>
        <v/>
      </c>
      <c r="R204" s="35" t="n"/>
      <c r="S204" s="37" t="n"/>
      <c r="T204" s="25" t="n"/>
      <c r="U204" s="37" t="n"/>
      <c r="V204" s="37" t="n"/>
      <c r="W204" s="36">
        <f>IF(A204="","",ROUNDUP(N(O204)*(Q204/7+Settings!$C$5),0))</f>
        <v/>
      </c>
      <c r="X204" s="25" t="n"/>
      <c r="Y204" s="25" t="n"/>
      <c r="Z204" s="32">
        <f>IF(A204="","",IF(Y204&lt;&gt;"",Y204,MAX(1,ROUNDUP(N(O204)*Settings!$C$7,0))))</f>
        <v/>
      </c>
      <c r="AA204" s="38">
        <f>IF(A204="","",MAX(N(S204),_xlfn.MAXIFS(Log!$A$2:$A$1001,Log!$B$2:$B$1001,A204,Log!$C$2:$C$1001,"Count")))</f>
        <v/>
      </c>
      <c r="AB204" s="39">
        <f>IF(A204="","",Z204*N(L204))</f>
        <v/>
      </c>
      <c r="AC204" s="40">
        <f>IF(A204="","",N(O204)*52*N(L204))</f>
        <v/>
      </c>
      <c r="AD204" s="39">
        <f>IF(A204="","",C204*N(L204))</f>
        <v/>
      </c>
      <c r="AE204" s="41">
        <f>IF(A204="",0,IF(AND(OR(B204="Order now",B204="Critical"),F204=0),1,0))</f>
        <v/>
      </c>
      <c r="AF204" s="41">
        <f>IF(AE204=1,IFERROR(MATCH(H204,Suppliers!$B$5:$B$24,0),99)*1000+ROW(),"")</f>
        <v/>
      </c>
      <c r="AG204" s="41">
        <f>IF(AF204="","",COUNTIF('Stock list'!$AF$2:$AF$301,"&lt;"&amp;AF204)+1)</f>
        <v/>
      </c>
      <c r="AH204" s="41">
        <f>IF(A204="",0,IF(OR(AA204=0,AND(B204="OK",OR(C204&lt;=D204+N(O204)*Settings!$C$6,Settings!$C$10-AA204&gt;Settings!$C$8*7))),1,0))</f>
        <v/>
      </c>
      <c r="AI204" s="41">
        <f>IF(AH204=0,"",IF(AA204=0,"Never counted",IF(C204&lt;=D204+N(O204)*Settings!$C$6,"Near the reorder point","Not counted for "&amp;INT((Settings!$C$10-AA204)/7)&amp;" weeks")))</f>
        <v/>
      </c>
      <c r="AJ204" s="41">
        <f>IF(AH204=1,IFERROR(MATCH(M204,Settings!$G$19:$G$38,0),99)*1000+ROW(),"")</f>
        <v/>
      </c>
      <c r="AK204" s="41">
        <f>IF(AJ204="","",COUNTIF('Stock list'!$AJ$2:$AJ$301,"&lt;"&amp;AJ204)+1)</f>
        <v/>
      </c>
      <c r="AL204" s="41">
        <f>IF(OR(A204="",N(AC204)=0),"",AC204+ROW()/1000000)</f>
        <v/>
      </c>
    </row>
    <row r="205">
      <c r="A205" s="24" t="n"/>
      <c r="B205" s="30">
        <f>IF(A205="","",IF(AA205=0,"No count",IF(AND(N(O205)&gt;0,C205/O205*7&lt;Q205),"Critical",IF(F205&gt;0,"On order",IF(AND(D205&gt;0,C205&lt;=D205),"Order now","OK")))))</f>
        <v/>
      </c>
      <c r="C205" s="31">
        <f>IF(A205="","",MAX(0,IF(_xlfn.MAXIFS(Log!$A$2:$A$1001,Log!$B$2:$B$1001,A205,Log!$C$2:$C$1001,"Count")&gt;N(S205),_xlfn.MAXIFS(Log!$D$2:$D$1001,Log!$B$2:$B$1001,A205,Log!$C$2:$C$1001,"Count",Log!$A$2:$A$1001,AA205),N(R205))+SUMIFS(Log!$D$2:$D$1001,Log!$B$2:$B$1001,A205,Log!$C$2:$C$1001,"Received",Log!$A$2:$A$1001,"&gt;"&amp;AA205)-SUMIFS(Log!$D$2:$D$1001,Log!$B$2:$B$1001,A205,Log!$C$2:$C$1001,"Used",Log!$A$2:$A$1001,"&gt;"&amp;AA205)+SUMIFS(Log!$D$2:$D$1001,Log!$B$2:$B$1001,A205,Log!$C$2:$C$1001,"Adjustment",Log!$A$2:$A$1001,"&gt;"&amp;AA205)))</f>
        <v/>
      </c>
      <c r="D205" s="32">
        <f>IF(A205="","",IF(X205&lt;&gt;"",X205,W205))</f>
        <v/>
      </c>
      <c r="E205" s="33">
        <f>IF(OR(A205="",N(O205)=0),"",C205/O205)</f>
        <v/>
      </c>
      <c r="F205" s="31">
        <f>IF(A205="","",MAX(0,N(T205)-SUMIFS(Log!$D$2:$D$1001,Log!$B$2:$B$1001,A205,Log!$C$2:$C$1001,"Received",Log!$A$2:$A$1001,"&gt;="&amp;N(U205))))</f>
        <v/>
      </c>
      <c r="G205" s="24" t="n"/>
      <c r="H205" s="24" t="n"/>
      <c r="I205" s="24" t="n"/>
      <c r="J205" s="24" t="n"/>
      <c r="K205" s="24" t="n"/>
      <c r="L205" s="34" t="n"/>
      <c r="M205" s="24" t="n"/>
      <c r="N205" s="24" t="n"/>
      <c r="O205" s="35" t="n"/>
      <c r="P205" s="25" t="n"/>
      <c r="Q205" s="36">
        <f>IF(A205="","",IF(P205&lt;&gt;"",P205,IFERROR(IF(N(INDEX(Suppliers!$E$5:$E$24,MATCH(H205,Suppliers!$B$5:$B$24,0)))&gt;0,INDEX(Suppliers!$E$5:$E$24,MATCH(H205,Suppliers!$B$5:$B$24,0)),5),5)))</f>
        <v/>
      </c>
      <c r="R205" s="35" t="n"/>
      <c r="S205" s="37" t="n"/>
      <c r="T205" s="25" t="n"/>
      <c r="U205" s="37" t="n"/>
      <c r="V205" s="37" t="n"/>
      <c r="W205" s="36">
        <f>IF(A205="","",ROUNDUP(N(O205)*(Q205/7+Settings!$C$5),0))</f>
        <v/>
      </c>
      <c r="X205" s="25" t="n"/>
      <c r="Y205" s="25" t="n"/>
      <c r="Z205" s="32">
        <f>IF(A205="","",IF(Y205&lt;&gt;"",Y205,MAX(1,ROUNDUP(N(O205)*Settings!$C$7,0))))</f>
        <v/>
      </c>
      <c r="AA205" s="38">
        <f>IF(A205="","",MAX(N(S205),_xlfn.MAXIFS(Log!$A$2:$A$1001,Log!$B$2:$B$1001,A205,Log!$C$2:$C$1001,"Count")))</f>
        <v/>
      </c>
      <c r="AB205" s="39">
        <f>IF(A205="","",Z205*N(L205))</f>
        <v/>
      </c>
      <c r="AC205" s="40">
        <f>IF(A205="","",N(O205)*52*N(L205))</f>
        <v/>
      </c>
      <c r="AD205" s="39">
        <f>IF(A205="","",C205*N(L205))</f>
        <v/>
      </c>
      <c r="AE205" s="41">
        <f>IF(A205="",0,IF(AND(OR(B205="Order now",B205="Critical"),F205=0),1,0))</f>
        <v/>
      </c>
      <c r="AF205" s="41">
        <f>IF(AE205=1,IFERROR(MATCH(H205,Suppliers!$B$5:$B$24,0),99)*1000+ROW(),"")</f>
        <v/>
      </c>
      <c r="AG205" s="41">
        <f>IF(AF205="","",COUNTIF('Stock list'!$AF$2:$AF$301,"&lt;"&amp;AF205)+1)</f>
        <v/>
      </c>
      <c r="AH205" s="41">
        <f>IF(A205="",0,IF(OR(AA205=0,AND(B205="OK",OR(C205&lt;=D205+N(O205)*Settings!$C$6,Settings!$C$10-AA205&gt;Settings!$C$8*7))),1,0))</f>
        <v/>
      </c>
      <c r="AI205" s="41">
        <f>IF(AH205=0,"",IF(AA205=0,"Never counted",IF(C205&lt;=D205+N(O205)*Settings!$C$6,"Near the reorder point","Not counted for "&amp;INT((Settings!$C$10-AA205)/7)&amp;" weeks")))</f>
        <v/>
      </c>
      <c r="AJ205" s="41">
        <f>IF(AH205=1,IFERROR(MATCH(M205,Settings!$G$19:$G$38,0),99)*1000+ROW(),"")</f>
        <v/>
      </c>
      <c r="AK205" s="41">
        <f>IF(AJ205="","",COUNTIF('Stock list'!$AJ$2:$AJ$301,"&lt;"&amp;AJ205)+1)</f>
        <v/>
      </c>
      <c r="AL205" s="41">
        <f>IF(OR(A205="",N(AC205)=0),"",AC205+ROW()/1000000)</f>
        <v/>
      </c>
    </row>
    <row r="206">
      <c r="A206" s="24" t="n"/>
      <c r="B206" s="30">
        <f>IF(A206="","",IF(AA206=0,"No count",IF(AND(N(O206)&gt;0,C206/O206*7&lt;Q206),"Critical",IF(F206&gt;0,"On order",IF(AND(D206&gt;0,C206&lt;=D206),"Order now","OK")))))</f>
        <v/>
      </c>
      <c r="C206" s="31">
        <f>IF(A206="","",MAX(0,IF(_xlfn.MAXIFS(Log!$A$2:$A$1001,Log!$B$2:$B$1001,A206,Log!$C$2:$C$1001,"Count")&gt;N(S206),_xlfn.MAXIFS(Log!$D$2:$D$1001,Log!$B$2:$B$1001,A206,Log!$C$2:$C$1001,"Count",Log!$A$2:$A$1001,AA206),N(R206))+SUMIFS(Log!$D$2:$D$1001,Log!$B$2:$B$1001,A206,Log!$C$2:$C$1001,"Received",Log!$A$2:$A$1001,"&gt;"&amp;AA206)-SUMIFS(Log!$D$2:$D$1001,Log!$B$2:$B$1001,A206,Log!$C$2:$C$1001,"Used",Log!$A$2:$A$1001,"&gt;"&amp;AA206)+SUMIFS(Log!$D$2:$D$1001,Log!$B$2:$B$1001,A206,Log!$C$2:$C$1001,"Adjustment",Log!$A$2:$A$1001,"&gt;"&amp;AA206)))</f>
        <v/>
      </c>
      <c r="D206" s="32">
        <f>IF(A206="","",IF(X206&lt;&gt;"",X206,W206))</f>
        <v/>
      </c>
      <c r="E206" s="33">
        <f>IF(OR(A206="",N(O206)=0),"",C206/O206)</f>
        <v/>
      </c>
      <c r="F206" s="31">
        <f>IF(A206="","",MAX(0,N(T206)-SUMIFS(Log!$D$2:$D$1001,Log!$B$2:$B$1001,A206,Log!$C$2:$C$1001,"Received",Log!$A$2:$A$1001,"&gt;="&amp;N(U206))))</f>
        <v/>
      </c>
      <c r="G206" s="24" t="n"/>
      <c r="H206" s="24" t="n"/>
      <c r="I206" s="24" t="n"/>
      <c r="J206" s="24" t="n"/>
      <c r="K206" s="24" t="n"/>
      <c r="L206" s="34" t="n"/>
      <c r="M206" s="24" t="n"/>
      <c r="N206" s="24" t="n"/>
      <c r="O206" s="35" t="n"/>
      <c r="P206" s="25" t="n"/>
      <c r="Q206" s="36">
        <f>IF(A206="","",IF(P206&lt;&gt;"",P206,IFERROR(IF(N(INDEX(Suppliers!$E$5:$E$24,MATCH(H206,Suppliers!$B$5:$B$24,0)))&gt;0,INDEX(Suppliers!$E$5:$E$24,MATCH(H206,Suppliers!$B$5:$B$24,0)),5),5)))</f>
        <v/>
      </c>
      <c r="R206" s="35" t="n"/>
      <c r="S206" s="37" t="n"/>
      <c r="T206" s="25" t="n"/>
      <c r="U206" s="37" t="n"/>
      <c r="V206" s="37" t="n"/>
      <c r="W206" s="36">
        <f>IF(A206="","",ROUNDUP(N(O206)*(Q206/7+Settings!$C$5),0))</f>
        <v/>
      </c>
      <c r="X206" s="25" t="n"/>
      <c r="Y206" s="25" t="n"/>
      <c r="Z206" s="32">
        <f>IF(A206="","",IF(Y206&lt;&gt;"",Y206,MAX(1,ROUNDUP(N(O206)*Settings!$C$7,0))))</f>
        <v/>
      </c>
      <c r="AA206" s="38">
        <f>IF(A206="","",MAX(N(S206),_xlfn.MAXIFS(Log!$A$2:$A$1001,Log!$B$2:$B$1001,A206,Log!$C$2:$C$1001,"Count")))</f>
        <v/>
      </c>
      <c r="AB206" s="39">
        <f>IF(A206="","",Z206*N(L206))</f>
        <v/>
      </c>
      <c r="AC206" s="40">
        <f>IF(A206="","",N(O206)*52*N(L206))</f>
        <v/>
      </c>
      <c r="AD206" s="39">
        <f>IF(A206="","",C206*N(L206))</f>
        <v/>
      </c>
      <c r="AE206" s="41">
        <f>IF(A206="",0,IF(AND(OR(B206="Order now",B206="Critical"),F206=0),1,0))</f>
        <v/>
      </c>
      <c r="AF206" s="41">
        <f>IF(AE206=1,IFERROR(MATCH(H206,Suppliers!$B$5:$B$24,0),99)*1000+ROW(),"")</f>
        <v/>
      </c>
      <c r="AG206" s="41">
        <f>IF(AF206="","",COUNTIF('Stock list'!$AF$2:$AF$301,"&lt;"&amp;AF206)+1)</f>
        <v/>
      </c>
      <c r="AH206" s="41">
        <f>IF(A206="",0,IF(OR(AA206=0,AND(B206="OK",OR(C206&lt;=D206+N(O206)*Settings!$C$6,Settings!$C$10-AA206&gt;Settings!$C$8*7))),1,0))</f>
        <v/>
      </c>
      <c r="AI206" s="41">
        <f>IF(AH206=0,"",IF(AA206=0,"Never counted",IF(C206&lt;=D206+N(O206)*Settings!$C$6,"Near the reorder point","Not counted for "&amp;INT((Settings!$C$10-AA206)/7)&amp;" weeks")))</f>
        <v/>
      </c>
      <c r="AJ206" s="41">
        <f>IF(AH206=1,IFERROR(MATCH(M206,Settings!$G$19:$G$38,0),99)*1000+ROW(),"")</f>
        <v/>
      </c>
      <c r="AK206" s="41">
        <f>IF(AJ206="","",COUNTIF('Stock list'!$AJ$2:$AJ$301,"&lt;"&amp;AJ206)+1)</f>
        <v/>
      </c>
      <c r="AL206" s="41">
        <f>IF(OR(A206="",N(AC206)=0),"",AC206+ROW()/1000000)</f>
        <v/>
      </c>
    </row>
    <row r="207">
      <c r="A207" s="24" t="n"/>
      <c r="B207" s="30">
        <f>IF(A207="","",IF(AA207=0,"No count",IF(AND(N(O207)&gt;0,C207/O207*7&lt;Q207),"Critical",IF(F207&gt;0,"On order",IF(AND(D207&gt;0,C207&lt;=D207),"Order now","OK")))))</f>
        <v/>
      </c>
      <c r="C207" s="31">
        <f>IF(A207="","",MAX(0,IF(_xlfn.MAXIFS(Log!$A$2:$A$1001,Log!$B$2:$B$1001,A207,Log!$C$2:$C$1001,"Count")&gt;N(S207),_xlfn.MAXIFS(Log!$D$2:$D$1001,Log!$B$2:$B$1001,A207,Log!$C$2:$C$1001,"Count",Log!$A$2:$A$1001,AA207),N(R207))+SUMIFS(Log!$D$2:$D$1001,Log!$B$2:$B$1001,A207,Log!$C$2:$C$1001,"Received",Log!$A$2:$A$1001,"&gt;"&amp;AA207)-SUMIFS(Log!$D$2:$D$1001,Log!$B$2:$B$1001,A207,Log!$C$2:$C$1001,"Used",Log!$A$2:$A$1001,"&gt;"&amp;AA207)+SUMIFS(Log!$D$2:$D$1001,Log!$B$2:$B$1001,A207,Log!$C$2:$C$1001,"Adjustment",Log!$A$2:$A$1001,"&gt;"&amp;AA207)))</f>
        <v/>
      </c>
      <c r="D207" s="32">
        <f>IF(A207="","",IF(X207&lt;&gt;"",X207,W207))</f>
        <v/>
      </c>
      <c r="E207" s="33">
        <f>IF(OR(A207="",N(O207)=0),"",C207/O207)</f>
        <v/>
      </c>
      <c r="F207" s="31">
        <f>IF(A207="","",MAX(0,N(T207)-SUMIFS(Log!$D$2:$D$1001,Log!$B$2:$B$1001,A207,Log!$C$2:$C$1001,"Received",Log!$A$2:$A$1001,"&gt;="&amp;N(U207))))</f>
        <v/>
      </c>
      <c r="G207" s="24" t="n"/>
      <c r="H207" s="24" t="n"/>
      <c r="I207" s="24" t="n"/>
      <c r="J207" s="24" t="n"/>
      <c r="K207" s="24" t="n"/>
      <c r="L207" s="34" t="n"/>
      <c r="M207" s="24" t="n"/>
      <c r="N207" s="24" t="n"/>
      <c r="O207" s="35" t="n"/>
      <c r="P207" s="25" t="n"/>
      <c r="Q207" s="36">
        <f>IF(A207="","",IF(P207&lt;&gt;"",P207,IFERROR(IF(N(INDEX(Suppliers!$E$5:$E$24,MATCH(H207,Suppliers!$B$5:$B$24,0)))&gt;0,INDEX(Suppliers!$E$5:$E$24,MATCH(H207,Suppliers!$B$5:$B$24,0)),5),5)))</f>
        <v/>
      </c>
      <c r="R207" s="35" t="n"/>
      <c r="S207" s="37" t="n"/>
      <c r="T207" s="25" t="n"/>
      <c r="U207" s="37" t="n"/>
      <c r="V207" s="37" t="n"/>
      <c r="W207" s="36">
        <f>IF(A207="","",ROUNDUP(N(O207)*(Q207/7+Settings!$C$5),0))</f>
        <v/>
      </c>
      <c r="X207" s="25" t="n"/>
      <c r="Y207" s="25" t="n"/>
      <c r="Z207" s="32">
        <f>IF(A207="","",IF(Y207&lt;&gt;"",Y207,MAX(1,ROUNDUP(N(O207)*Settings!$C$7,0))))</f>
        <v/>
      </c>
      <c r="AA207" s="38">
        <f>IF(A207="","",MAX(N(S207),_xlfn.MAXIFS(Log!$A$2:$A$1001,Log!$B$2:$B$1001,A207,Log!$C$2:$C$1001,"Count")))</f>
        <v/>
      </c>
      <c r="AB207" s="39">
        <f>IF(A207="","",Z207*N(L207))</f>
        <v/>
      </c>
      <c r="AC207" s="40">
        <f>IF(A207="","",N(O207)*52*N(L207))</f>
        <v/>
      </c>
      <c r="AD207" s="39">
        <f>IF(A207="","",C207*N(L207))</f>
        <v/>
      </c>
      <c r="AE207" s="41">
        <f>IF(A207="",0,IF(AND(OR(B207="Order now",B207="Critical"),F207=0),1,0))</f>
        <v/>
      </c>
      <c r="AF207" s="41">
        <f>IF(AE207=1,IFERROR(MATCH(H207,Suppliers!$B$5:$B$24,0),99)*1000+ROW(),"")</f>
        <v/>
      </c>
      <c r="AG207" s="41">
        <f>IF(AF207="","",COUNTIF('Stock list'!$AF$2:$AF$301,"&lt;"&amp;AF207)+1)</f>
        <v/>
      </c>
      <c r="AH207" s="41">
        <f>IF(A207="",0,IF(OR(AA207=0,AND(B207="OK",OR(C207&lt;=D207+N(O207)*Settings!$C$6,Settings!$C$10-AA207&gt;Settings!$C$8*7))),1,0))</f>
        <v/>
      </c>
      <c r="AI207" s="41">
        <f>IF(AH207=0,"",IF(AA207=0,"Never counted",IF(C207&lt;=D207+N(O207)*Settings!$C$6,"Near the reorder point","Not counted for "&amp;INT((Settings!$C$10-AA207)/7)&amp;" weeks")))</f>
        <v/>
      </c>
      <c r="AJ207" s="41">
        <f>IF(AH207=1,IFERROR(MATCH(M207,Settings!$G$19:$G$38,0),99)*1000+ROW(),"")</f>
        <v/>
      </c>
      <c r="AK207" s="41">
        <f>IF(AJ207="","",COUNTIF('Stock list'!$AJ$2:$AJ$301,"&lt;"&amp;AJ207)+1)</f>
        <v/>
      </c>
      <c r="AL207" s="41">
        <f>IF(OR(A207="",N(AC207)=0),"",AC207+ROW()/1000000)</f>
        <v/>
      </c>
    </row>
    <row r="208">
      <c r="A208" s="24" t="n"/>
      <c r="B208" s="30">
        <f>IF(A208="","",IF(AA208=0,"No count",IF(AND(N(O208)&gt;0,C208/O208*7&lt;Q208),"Critical",IF(F208&gt;0,"On order",IF(AND(D208&gt;0,C208&lt;=D208),"Order now","OK")))))</f>
        <v/>
      </c>
      <c r="C208" s="31">
        <f>IF(A208="","",MAX(0,IF(_xlfn.MAXIFS(Log!$A$2:$A$1001,Log!$B$2:$B$1001,A208,Log!$C$2:$C$1001,"Count")&gt;N(S208),_xlfn.MAXIFS(Log!$D$2:$D$1001,Log!$B$2:$B$1001,A208,Log!$C$2:$C$1001,"Count",Log!$A$2:$A$1001,AA208),N(R208))+SUMIFS(Log!$D$2:$D$1001,Log!$B$2:$B$1001,A208,Log!$C$2:$C$1001,"Received",Log!$A$2:$A$1001,"&gt;"&amp;AA208)-SUMIFS(Log!$D$2:$D$1001,Log!$B$2:$B$1001,A208,Log!$C$2:$C$1001,"Used",Log!$A$2:$A$1001,"&gt;"&amp;AA208)+SUMIFS(Log!$D$2:$D$1001,Log!$B$2:$B$1001,A208,Log!$C$2:$C$1001,"Adjustment",Log!$A$2:$A$1001,"&gt;"&amp;AA208)))</f>
        <v/>
      </c>
      <c r="D208" s="32">
        <f>IF(A208="","",IF(X208&lt;&gt;"",X208,W208))</f>
        <v/>
      </c>
      <c r="E208" s="33">
        <f>IF(OR(A208="",N(O208)=0),"",C208/O208)</f>
        <v/>
      </c>
      <c r="F208" s="31">
        <f>IF(A208="","",MAX(0,N(T208)-SUMIFS(Log!$D$2:$D$1001,Log!$B$2:$B$1001,A208,Log!$C$2:$C$1001,"Received",Log!$A$2:$A$1001,"&gt;="&amp;N(U208))))</f>
        <v/>
      </c>
      <c r="G208" s="24" t="n"/>
      <c r="H208" s="24" t="n"/>
      <c r="I208" s="24" t="n"/>
      <c r="J208" s="24" t="n"/>
      <c r="K208" s="24" t="n"/>
      <c r="L208" s="34" t="n"/>
      <c r="M208" s="24" t="n"/>
      <c r="N208" s="24" t="n"/>
      <c r="O208" s="35" t="n"/>
      <c r="P208" s="25" t="n"/>
      <c r="Q208" s="36">
        <f>IF(A208="","",IF(P208&lt;&gt;"",P208,IFERROR(IF(N(INDEX(Suppliers!$E$5:$E$24,MATCH(H208,Suppliers!$B$5:$B$24,0)))&gt;0,INDEX(Suppliers!$E$5:$E$24,MATCH(H208,Suppliers!$B$5:$B$24,0)),5),5)))</f>
        <v/>
      </c>
      <c r="R208" s="35" t="n"/>
      <c r="S208" s="37" t="n"/>
      <c r="T208" s="25" t="n"/>
      <c r="U208" s="37" t="n"/>
      <c r="V208" s="37" t="n"/>
      <c r="W208" s="36">
        <f>IF(A208="","",ROUNDUP(N(O208)*(Q208/7+Settings!$C$5),0))</f>
        <v/>
      </c>
      <c r="X208" s="25" t="n"/>
      <c r="Y208" s="25" t="n"/>
      <c r="Z208" s="32">
        <f>IF(A208="","",IF(Y208&lt;&gt;"",Y208,MAX(1,ROUNDUP(N(O208)*Settings!$C$7,0))))</f>
        <v/>
      </c>
      <c r="AA208" s="38">
        <f>IF(A208="","",MAX(N(S208),_xlfn.MAXIFS(Log!$A$2:$A$1001,Log!$B$2:$B$1001,A208,Log!$C$2:$C$1001,"Count")))</f>
        <v/>
      </c>
      <c r="AB208" s="39">
        <f>IF(A208="","",Z208*N(L208))</f>
        <v/>
      </c>
      <c r="AC208" s="40">
        <f>IF(A208="","",N(O208)*52*N(L208))</f>
        <v/>
      </c>
      <c r="AD208" s="39">
        <f>IF(A208="","",C208*N(L208))</f>
        <v/>
      </c>
      <c r="AE208" s="41">
        <f>IF(A208="",0,IF(AND(OR(B208="Order now",B208="Critical"),F208=0),1,0))</f>
        <v/>
      </c>
      <c r="AF208" s="41">
        <f>IF(AE208=1,IFERROR(MATCH(H208,Suppliers!$B$5:$B$24,0),99)*1000+ROW(),"")</f>
        <v/>
      </c>
      <c r="AG208" s="41">
        <f>IF(AF208="","",COUNTIF('Stock list'!$AF$2:$AF$301,"&lt;"&amp;AF208)+1)</f>
        <v/>
      </c>
      <c r="AH208" s="41">
        <f>IF(A208="",0,IF(OR(AA208=0,AND(B208="OK",OR(C208&lt;=D208+N(O208)*Settings!$C$6,Settings!$C$10-AA208&gt;Settings!$C$8*7))),1,0))</f>
        <v/>
      </c>
      <c r="AI208" s="41">
        <f>IF(AH208=0,"",IF(AA208=0,"Never counted",IF(C208&lt;=D208+N(O208)*Settings!$C$6,"Near the reorder point","Not counted for "&amp;INT((Settings!$C$10-AA208)/7)&amp;" weeks")))</f>
        <v/>
      </c>
      <c r="AJ208" s="41">
        <f>IF(AH208=1,IFERROR(MATCH(M208,Settings!$G$19:$G$38,0),99)*1000+ROW(),"")</f>
        <v/>
      </c>
      <c r="AK208" s="41">
        <f>IF(AJ208="","",COUNTIF('Stock list'!$AJ$2:$AJ$301,"&lt;"&amp;AJ208)+1)</f>
        <v/>
      </c>
      <c r="AL208" s="41">
        <f>IF(OR(A208="",N(AC208)=0),"",AC208+ROW()/1000000)</f>
        <v/>
      </c>
    </row>
    <row r="209">
      <c r="A209" s="24" t="n"/>
      <c r="B209" s="30">
        <f>IF(A209="","",IF(AA209=0,"No count",IF(AND(N(O209)&gt;0,C209/O209*7&lt;Q209),"Critical",IF(F209&gt;0,"On order",IF(AND(D209&gt;0,C209&lt;=D209),"Order now","OK")))))</f>
        <v/>
      </c>
      <c r="C209" s="31">
        <f>IF(A209="","",MAX(0,IF(_xlfn.MAXIFS(Log!$A$2:$A$1001,Log!$B$2:$B$1001,A209,Log!$C$2:$C$1001,"Count")&gt;N(S209),_xlfn.MAXIFS(Log!$D$2:$D$1001,Log!$B$2:$B$1001,A209,Log!$C$2:$C$1001,"Count",Log!$A$2:$A$1001,AA209),N(R209))+SUMIFS(Log!$D$2:$D$1001,Log!$B$2:$B$1001,A209,Log!$C$2:$C$1001,"Received",Log!$A$2:$A$1001,"&gt;"&amp;AA209)-SUMIFS(Log!$D$2:$D$1001,Log!$B$2:$B$1001,A209,Log!$C$2:$C$1001,"Used",Log!$A$2:$A$1001,"&gt;"&amp;AA209)+SUMIFS(Log!$D$2:$D$1001,Log!$B$2:$B$1001,A209,Log!$C$2:$C$1001,"Adjustment",Log!$A$2:$A$1001,"&gt;"&amp;AA209)))</f>
        <v/>
      </c>
      <c r="D209" s="32">
        <f>IF(A209="","",IF(X209&lt;&gt;"",X209,W209))</f>
        <v/>
      </c>
      <c r="E209" s="33">
        <f>IF(OR(A209="",N(O209)=0),"",C209/O209)</f>
        <v/>
      </c>
      <c r="F209" s="31">
        <f>IF(A209="","",MAX(0,N(T209)-SUMIFS(Log!$D$2:$D$1001,Log!$B$2:$B$1001,A209,Log!$C$2:$C$1001,"Received",Log!$A$2:$A$1001,"&gt;="&amp;N(U209))))</f>
        <v/>
      </c>
      <c r="G209" s="24" t="n"/>
      <c r="H209" s="24" t="n"/>
      <c r="I209" s="24" t="n"/>
      <c r="J209" s="24" t="n"/>
      <c r="K209" s="24" t="n"/>
      <c r="L209" s="34" t="n"/>
      <c r="M209" s="24" t="n"/>
      <c r="N209" s="24" t="n"/>
      <c r="O209" s="35" t="n"/>
      <c r="P209" s="25" t="n"/>
      <c r="Q209" s="36">
        <f>IF(A209="","",IF(P209&lt;&gt;"",P209,IFERROR(IF(N(INDEX(Suppliers!$E$5:$E$24,MATCH(H209,Suppliers!$B$5:$B$24,0)))&gt;0,INDEX(Suppliers!$E$5:$E$24,MATCH(H209,Suppliers!$B$5:$B$24,0)),5),5)))</f>
        <v/>
      </c>
      <c r="R209" s="35" t="n"/>
      <c r="S209" s="37" t="n"/>
      <c r="T209" s="25" t="n"/>
      <c r="U209" s="37" t="n"/>
      <c r="V209" s="37" t="n"/>
      <c r="W209" s="36">
        <f>IF(A209="","",ROUNDUP(N(O209)*(Q209/7+Settings!$C$5),0))</f>
        <v/>
      </c>
      <c r="X209" s="25" t="n"/>
      <c r="Y209" s="25" t="n"/>
      <c r="Z209" s="32">
        <f>IF(A209="","",IF(Y209&lt;&gt;"",Y209,MAX(1,ROUNDUP(N(O209)*Settings!$C$7,0))))</f>
        <v/>
      </c>
      <c r="AA209" s="38">
        <f>IF(A209="","",MAX(N(S209),_xlfn.MAXIFS(Log!$A$2:$A$1001,Log!$B$2:$B$1001,A209,Log!$C$2:$C$1001,"Count")))</f>
        <v/>
      </c>
      <c r="AB209" s="39">
        <f>IF(A209="","",Z209*N(L209))</f>
        <v/>
      </c>
      <c r="AC209" s="40">
        <f>IF(A209="","",N(O209)*52*N(L209))</f>
        <v/>
      </c>
      <c r="AD209" s="39">
        <f>IF(A209="","",C209*N(L209))</f>
        <v/>
      </c>
      <c r="AE209" s="41">
        <f>IF(A209="",0,IF(AND(OR(B209="Order now",B209="Critical"),F209=0),1,0))</f>
        <v/>
      </c>
      <c r="AF209" s="41">
        <f>IF(AE209=1,IFERROR(MATCH(H209,Suppliers!$B$5:$B$24,0),99)*1000+ROW(),"")</f>
        <v/>
      </c>
      <c r="AG209" s="41">
        <f>IF(AF209="","",COUNTIF('Stock list'!$AF$2:$AF$301,"&lt;"&amp;AF209)+1)</f>
        <v/>
      </c>
      <c r="AH209" s="41">
        <f>IF(A209="",0,IF(OR(AA209=0,AND(B209="OK",OR(C209&lt;=D209+N(O209)*Settings!$C$6,Settings!$C$10-AA209&gt;Settings!$C$8*7))),1,0))</f>
        <v/>
      </c>
      <c r="AI209" s="41">
        <f>IF(AH209=0,"",IF(AA209=0,"Never counted",IF(C209&lt;=D209+N(O209)*Settings!$C$6,"Near the reorder point","Not counted for "&amp;INT((Settings!$C$10-AA209)/7)&amp;" weeks")))</f>
        <v/>
      </c>
      <c r="AJ209" s="41">
        <f>IF(AH209=1,IFERROR(MATCH(M209,Settings!$G$19:$G$38,0),99)*1000+ROW(),"")</f>
        <v/>
      </c>
      <c r="AK209" s="41">
        <f>IF(AJ209="","",COUNTIF('Stock list'!$AJ$2:$AJ$301,"&lt;"&amp;AJ209)+1)</f>
        <v/>
      </c>
      <c r="AL209" s="41">
        <f>IF(OR(A209="",N(AC209)=0),"",AC209+ROW()/1000000)</f>
        <v/>
      </c>
    </row>
    <row r="210">
      <c r="A210" s="24" t="n"/>
      <c r="B210" s="30">
        <f>IF(A210="","",IF(AA210=0,"No count",IF(AND(N(O210)&gt;0,C210/O210*7&lt;Q210),"Critical",IF(F210&gt;0,"On order",IF(AND(D210&gt;0,C210&lt;=D210),"Order now","OK")))))</f>
        <v/>
      </c>
      <c r="C210" s="31">
        <f>IF(A210="","",MAX(0,IF(_xlfn.MAXIFS(Log!$A$2:$A$1001,Log!$B$2:$B$1001,A210,Log!$C$2:$C$1001,"Count")&gt;N(S210),_xlfn.MAXIFS(Log!$D$2:$D$1001,Log!$B$2:$B$1001,A210,Log!$C$2:$C$1001,"Count",Log!$A$2:$A$1001,AA210),N(R210))+SUMIFS(Log!$D$2:$D$1001,Log!$B$2:$B$1001,A210,Log!$C$2:$C$1001,"Received",Log!$A$2:$A$1001,"&gt;"&amp;AA210)-SUMIFS(Log!$D$2:$D$1001,Log!$B$2:$B$1001,A210,Log!$C$2:$C$1001,"Used",Log!$A$2:$A$1001,"&gt;"&amp;AA210)+SUMIFS(Log!$D$2:$D$1001,Log!$B$2:$B$1001,A210,Log!$C$2:$C$1001,"Adjustment",Log!$A$2:$A$1001,"&gt;"&amp;AA210)))</f>
        <v/>
      </c>
      <c r="D210" s="32">
        <f>IF(A210="","",IF(X210&lt;&gt;"",X210,W210))</f>
        <v/>
      </c>
      <c r="E210" s="33">
        <f>IF(OR(A210="",N(O210)=0),"",C210/O210)</f>
        <v/>
      </c>
      <c r="F210" s="31">
        <f>IF(A210="","",MAX(0,N(T210)-SUMIFS(Log!$D$2:$D$1001,Log!$B$2:$B$1001,A210,Log!$C$2:$C$1001,"Received",Log!$A$2:$A$1001,"&gt;="&amp;N(U210))))</f>
        <v/>
      </c>
      <c r="G210" s="24" t="n"/>
      <c r="H210" s="24" t="n"/>
      <c r="I210" s="24" t="n"/>
      <c r="J210" s="24" t="n"/>
      <c r="K210" s="24" t="n"/>
      <c r="L210" s="34" t="n"/>
      <c r="M210" s="24" t="n"/>
      <c r="N210" s="24" t="n"/>
      <c r="O210" s="35" t="n"/>
      <c r="P210" s="25" t="n"/>
      <c r="Q210" s="36">
        <f>IF(A210="","",IF(P210&lt;&gt;"",P210,IFERROR(IF(N(INDEX(Suppliers!$E$5:$E$24,MATCH(H210,Suppliers!$B$5:$B$24,0)))&gt;0,INDEX(Suppliers!$E$5:$E$24,MATCH(H210,Suppliers!$B$5:$B$24,0)),5),5)))</f>
        <v/>
      </c>
      <c r="R210" s="35" t="n"/>
      <c r="S210" s="37" t="n"/>
      <c r="T210" s="25" t="n"/>
      <c r="U210" s="37" t="n"/>
      <c r="V210" s="37" t="n"/>
      <c r="W210" s="36">
        <f>IF(A210="","",ROUNDUP(N(O210)*(Q210/7+Settings!$C$5),0))</f>
        <v/>
      </c>
      <c r="X210" s="25" t="n"/>
      <c r="Y210" s="25" t="n"/>
      <c r="Z210" s="32">
        <f>IF(A210="","",IF(Y210&lt;&gt;"",Y210,MAX(1,ROUNDUP(N(O210)*Settings!$C$7,0))))</f>
        <v/>
      </c>
      <c r="AA210" s="38">
        <f>IF(A210="","",MAX(N(S210),_xlfn.MAXIFS(Log!$A$2:$A$1001,Log!$B$2:$B$1001,A210,Log!$C$2:$C$1001,"Count")))</f>
        <v/>
      </c>
      <c r="AB210" s="39">
        <f>IF(A210="","",Z210*N(L210))</f>
        <v/>
      </c>
      <c r="AC210" s="40">
        <f>IF(A210="","",N(O210)*52*N(L210))</f>
        <v/>
      </c>
      <c r="AD210" s="39">
        <f>IF(A210="","",C210*N(L210))</f>
        <v/>
      </c>
      <c r="AE210" s="41">
        <f>IF(A210="",0,IF(AND(OR(B210="Order now",B210="Critical"),F210=0),1,0))</f>
        <v/>
      </c>
      <c r="AF210" s="41">
        <f>IF(AE210=1,IFERROR(MATCH(H210,Suppliers!$B$5:$B$24,0),99)*1000+ROW(),"")</f>
        <v/>
      </c>
      <c r="AG210" s="41">
        <f>IF(AF210="","",COUNTIF('Stock list'!$AF$2:$AF$301,"&lt;"&amp;AF210)+1)</f>
        <v/>
      </c>
      <c r="AH210" s="41">
        <f>IF(A210="",0,IF(OR(AA210=0,AND(B210="OK",OR(C210&lt;=D210+N(O210)*Settings!$C$6,Settings!$C$10-AA210&gt;Settings!$C$8*7))),1,0))</f>
        <v/>
      </c>
      <c r="AI210" s="41">
        <f>IF(AH210=0,"",IF(AA210=0,"Never counted",IF(C210&lt;=D210+N(O210)*Settings!$C$6,"Near the reorder point","Not counted for "&amp;INT((Settings!$C$10-AA210)/7)&amp;" weeks")))</f>
        <v/>
      </c>
      <c r="AJ210" s="41">
        <f>IF(AH210=1,IFERROR(MATCH(M210,Settings!$G$19:$G$38,0),99)*1000+ROW(),"")</f>
        <v/>
      </c>
      <c r="AK210" s="41">
        <f>IF(AJ210="","",COUNTIF('Stock list'!$AJ$2:$AJ$301,"&lt;"&amp;AJ210)+1)</f>
        <v/>
      </c>
      <c r="AL210" s="41">
        <f>IF(OR(A210="",N(AC210)=0),"",AC210+ROW()/1000000)</f>
        <v/>
      </c>
    </row>
    <row r="211">
      <c r="A211" s="24" t="n"/>
      <c r="B211" s="30">
        <f>IF(A211="","",IF(AA211=0,"No count",IF(AND(N(O211)&gt;0,C211/O211*7&lt;Q211),"Critical",IF(F211&gt;0,"On order",IF(AND(D211&gt;0,C211&lt;=D211),"Order now","OK")))))</f>
        <v/>
      </c>
      <c r="C211" s="31">
        <f>IF(A211="","",MAX(0,IF(_xlfn.MAXIFS(Log!$A$2:$A$1001,Log!$B$2:$B$1001,A211,Log!$C$2:$C$1001,"Count")&gt;N(S211),_xlfn.MAXIFS(Log!$D$2:$D$1001,Log!$B$2:$B$1001,A211,Log!$C$2:$C$1001,"Count",Log!$A$2:$A$1001,AA211),N(R211))+SUMIFS(Log!$D$2:$D$1001,Log!$B$2:$B$1001,A211,Log!$C$2:$C$1001,"Received",Log!$A$2:$A$1001,"&gt;"&amp;AA211)-SUMIFS(Log!$D$2:$D$1001,Log!$B$2:$B$1001,A211,Log!$C$2:$C$1001,"Used",Log!$A$2:$A$1001,"&gt;"&amp;AA211)+SUMIFS(Log!$D$2:$D$1001,Log!$B$2:$B$1001,A211,Log!$C$2:$C$1001,"Adjustment",Log!$A$2:$A$1001,"&gt;"&amp;AA211)))</f>
        <v/>
      </c>
      <c r="D211" s="32">
        <f>IF(A211="","",IF(X211&lt;&gt;"",X211,W211))</f>
        <v/>
      </c>
      <c r="E211" s="33">
        <f>IF(OR(A211="",N(O211)=0),"",C211/O211)</f>
        <v/>
      </c>
      <c r="F211" s="31">
        <f>IF(A211="","",MAX(0,N(T211)-SUMIFS(Log!$D$2:$D$1001,Log!$B$2:$B$1001,A211,Log!$C$2:$C$1001,"Received",Log!$A$2:$A$1001,"&gt;="&amp;N(U211))))</f>
        <v/>
      </c>
      <c r="G211" s="24" t="n"/>
      <c r="H211" s="24" t="n"/>
      <c r="I211" s="24" t="n"/>
      <c r="J211" s="24" t="n"/>
      <c r="K211" s="24" t="n"/>
      <c r="L211" s="34" t="n"/>
      <c r="M211" s="24" t="n"/>
      <c r="N211" s="24" t="n"/>
      <c r="O211" s="35" t="n"/>
      <c r="P211" s="25" t="n"/>
      <c r="Q211" s="36">
        <f>IF(A211="","",IF(P211&lt;&gt;"",P211,IFERROR(IF(N(INDEX(Suppliers!$E$5:$E$24,MATCH(H211,Suppliers!$B$5:$B$24,0)))&gt;0,INDEX(Suppliers!$E$5:$E$24,MATCH(H211,Suppliers!$B$5:$B$24,0)),5),5)))</f>
        <v/>
      </c>
      <c r="R211" s="35" t="n"/>
      <c r="S211" s="37" t="n"/>
      <c r="T211" s="25" t="n"/>
      <c r="U211" s="37" t="n"/>
      <c r="V211" s="37" t="n"/>
      <c r="W211" s="36">
        <f>IF(A211="","",ROUNDUP(N(O211)*(Q211/7+Settings!$C$5),0))</f>
        <v/>
      </c>
      <c r="X211" s="25" t="n"/>
      <c r="Y211" s="25" t="n"/>
      <c r="Z211" s="32">
        <f>IF(A211="","",IF(Y211&lt;&gt;"",Y211,MAX(1,ROUNDUP(N(O211)*Settings!$C$7,0))))</f>
        <v/>
      </c>
      <c r="AA211" s="38">
        <f>IF(A211="","",MAX(N(S211),_xlfn.MAXIFS(Log!$A$2:$A$1001,Log!$B$2:$B$1001,A211,Log!$C$2:$C$1001,"Count")))</f>
        <v/>
      </c>
      <c r="AB211" s="39">
        <f>IF(A211="","",Z211*N(L211))</f>
        <v/>
      </c>
      <c r="AC211" s="40">
        <f>IF(A211="","",N(O211)*52*N(L211))</f>
        <v/>
      </c>
      <c r="AD211" s="39">
        <f>IF(A211="","",C211*N(L211))</f>
        <v/>
      </c>
      <c r="AE211" s="41">
        <f>IF(A211="",0,IF(AND(OR(B211="Order now",B211="Critical"),F211=0),1,0))</f>
        <v/>
      </c>
      <c r="AF211" s="41">
        <f>IF(AE211=1,IFERROR(MATCH(H211,Suppliers!$B$5:$B$24,0),99)*1000+ROW(),"")</f>
        <v/>
      </c>
      <c r="AG211" s="41">
        <f>IF(AF211="","",COUNTIF('Stock list'!$AF$2:$AF$301,"&lt;"&amp;AF211)+1)</f>
        <v/>
      </c>
      <c r="AH211" s="41">
        <f>IF(A211="",0,IF(OR(AA211=0,AND(B211="OK",OR(C211&lt;=D211+N(O211)*Settings!$C$6,Settings!$C$10-AA211&gt;Settings!$C$8*7))),1,0))</f>
        <v/>
      </c>
      <c r="AI211" s="41">
        <f>IF(AH211=0,"",IF(AA211=0,"Never counted",IF(C211&lt;=D211+N(O211)*Settings!$C$6,"Near the reorder point","Not counted for "&amp;INT((Settings!$C$10-AA211)/7)&amp;" weeks")))</f>
        <v/>
      </c>
      <c r="AJ211" s="41">
        <f>IF(AH211=1,IFERROR(MATCH(M211,Settings!$G$19:$G$38,0),99)*1000+ROW(),"")</f>
        <v/>
      </c>
      <c r="AK211" s="41">
        <f>IF(AJ211="","",COUNTIF('Stock list'!$AJ$2:$AJ$301,"&lt;"&amp;AJ211)+1)</f>
        <v/>
      </c>
      <c r="AL211" s="41">
        <f>IF(OR(A211="",N(AC211)=0),"",AC211+ROW()/1000000)</f>
        <v/>
      </c>
    </row>
    <row r="212">
      <c r="A212" s="24" t="n"/>
      <c r="B212" s="30">
        <f>IF(A212="","",IF(AA212=0,"No count",IF(AND(N(O212)&gt;0,C212/O212*7&lt;Q212),"Critical",IF(F212&gt;0,"On order",IF(AND(D212&gt;0,C212&lt;=D212),"Order now","OK")))))</f>
        <v/>
      </c>
      <c r="C212" s="31">
        <f>IF(A212="","",MAX(0,IF(_xlfn.MAXIFS(Log!$A$2:$A$1001,Log!$B$2:$B$1001,A212,Log!$C$2:$C$1001,"Count")&gt;N(S212),_xlfn.MAXIFS(Log!$D$2:$D$1001,Log!$B$2:$B$1001,A212,Log!$C$2:$C$1001,"Count",Log!$A$2:$A$1001,AA212),N(R212))+SUMIFS(Log!$D$2:$D$1001,Log!$B$2:$B$1001,A212,Log!$C$2:$C$1001,"Received",Log!$A$2:$A$1001,"&gt;"&amp;AA212)-SUMIFS(Log!$D$2:$D$1001,Log!$B$2:$B$1001,A212,Log!$C$2:$C$1001,"Used",Log!$A$2:$A$1001,"&gt;"&amp;AA212)+SUMIFS(Log!$D$2:$D$1001,Log!$B$2:$B$1001,A212,Log!$C$2:$C$1001,"Adjustment",Log!$A$2:$A$1001,"&gt;"&amp;AA212)))</f>
        <v/>
      </c>
      <c r="D212" s="32">
        <f>IF(A212="","",IF(X212&lt;&gt;"",X212,W212))</f>
        <v/>
      </c>
      <c r="E212" s="33">
        <f>IF(OR(A212="",N(O212)=0),"",C212/O212)</f>
        <v/>
      </c>
      <c r="F212" s="31">
        <f>IF(A212="","",MAX(0,N(T212)-SUMIFS(Log!$D$2:$D$1001,Log!$B$2:$B$1001,A212,Log!$C$2:$C$1001,"Received",Log!$A$2:$A$1001,"&gt;="&amp;N(U212))))</f>
        <v/>
      </c>
      <c r="G212" s="24" t="n"/>
      <c r="H212" s="24" t="n"/>
      <c r="I212" s="24" t="n"/>
      <c r="J212" s="24" t="n"/>
      <c r="K212" s="24" t="n"/>
      <c r="L212" s="34" t="n"/>
      <c r="M212" s="24" t="n"/>
      <c r="N212" s="24" t="n"/>
      <c r="O212" s="35" t="n"/>
      <c r="P212" s="25" t="n"/>
      <c r="Q212" s="36">
        <f>IF(A212="","",IF(P212&lt;&gt;"",P212,IFERROR(IF(N(INDEX(Suppliers!$E$5:$E$24,MATCH(H212,Suppliers!$B$5:$B$24,0)))&gt;0,INDEX(Suppliers!$E$5:$E$24,MATCH(H212,Suppliers!$B$5:$B$24,0)),5),5)))</f>
        <v/>
      </c>
      <c r="R212" s="35" t="n"/>
      <c r="S212" s="37" t="n"/>
      <c r="T212" s="25" t="n"/>
      <c r="U212" s="37" t="n"/>
      <c r="V212" s="37" t="n"/>
      <c r="W212" s="36">
        <f>IF(A212="","",ROUNDUP(N(O212)*(Q212/7+Settings!$C$5),0))</f>
        <v/>
      </c>
      <c r="X212" s="25" t="n"/>
      <c r="Y212" s="25" t="n"/>
      <c r="Z212" s="32">
        <f>IF(A212="","",IF(Y212&lt;&gt;"",Y212,MAX(1,ROUNDUP(N(O212)*Settings!$C$7,0))))</f>
        <v/>
      </c>
      <c r="AA212" s="38">
        <f>IF(A212="","",MAX(N(S212),_xlfn.MAXIFS(Log!$A$2:$A$1001,Log!$B$2:$B$1001,A212,Log!$C$2:$C$1001,"Count")))</f>
        <v/>
      </c>
      <c r="AB212" s="39">
        <f>IF(A212="","",Z212*N(L212))</f>
        <v/>
      </c>
      <c r="AC212" s="40">
        <f>IF(A212="","",N(O212)*52*N(L212))</f>
        <v/>
      </c>
      <c r="AD212" s="39">
        <f>IF(A212="","",C212*N(L212))</f>
        <v/>
      </c>
      <c r="AE212" s="41">
        <f>IF(A212="",0,IF(AND(OR(B212="Order now",B212="Critical"),F212=0),1,0))</f>
        <v/>
      </c>
      <c r="AF212" s="41">
        <f>IF(AE212=1,IFERROR(MATCH(H212,Suppliers!$B$5:$B$24,0),99)*1000+ROW(),"")</f>
        <v/>
      </c>
      <c r="AG212" s="41">
        <f>IF(AF212="","",COUNTIF('Stock list'!$AF$2:$AF$301,"&lt;"&amp;AF212)+1)</f>
        <v/>
      </c>
      <c r="AH212" s="41">
        <f>IF(A212="",0,IF(OR(AA212=0,AND(B212="OK",OR(C212&lt;=D212+N(O212)*Settings!$C$6,Settings!$C$10-AA212&gt;Settings!$C$8*7))),1,0))</f>
        <v/>
      </c>
      <c r="AI212" s="41">
        <f>IF(AH212=0,"",IF(AA212=0,"Never counted",IF(C212&lt;=D212+N(O212)*Settings!$C$6,"Near the reorder point","Not counted for "&amp;INT((Settings!$C$10-AA212)/7)&amp;" weeks")))</f>
        <v/>
      </c>
      <c r="AJ212" s="41">
        <f>IF(AH212=1,IFERROR(MATCH(M212,Settings!$G$19:$G$38,0),99)*1000+ROW(),"")</f>
        <v/>
      </c>
      <c r="AK212" s="41">
        <f>IF(AJ212="","",COUNTIF('Stock list'!$AJ$2:$AJ$301,"&lt;"&amp;AJ212)+1)</f>
        <v/>
      </c>
      <c r="AL212" s="41">
        <f>IF(OR(A212="",N(AC212)=0),"",AC212+ROW()/1000000)</f>
        <v/>
      </c>
    </row>
    <row r="213">
      <c r="A213" s="24" t="n"/>
      <c r="B213" s="30">
        <f>IF(A213="","",IF(AA213=0,"No count",IF(AND(N(O213)&gt;0,C213/O213*7&lt;Q213),"Critical",IF(F213&gt;0,"On order",IF(AND(D213&gt;0,C213&lt;=D213),"Order now","OK")))))</f>
        <v/>
      </c>
      <c r="C213" s="31">
        <f>IF(A213="","",MAX(0,IF(_xlfn.MAXIFS(Log!$A$2:$A$1001,Log!$B$2:$B$1001,A213,Log!$C$2:$C$1001,"Count")&gt;N(S213),_xlfn.MAXIFS(Log!$D$2:$D$1001,Log!$B$2:$B$1001,A213,Log!$C$2:$C$1001,"Count",Log!$A$2:$A$1001,AA213),N(R213))+SUMIFS(Log!$D$2:$D$1001,Log!$B$2:$B$1001,A213,Log!$C$2:$C$1001,"Received",Log!$A$2:$A$1001,"&gt;"&amp;AA213)-SUMIFS(Log!$D$2:$D$1001,Log!$B$2:$B$1001,A213,Log!$C$2:$C$1001,"Used",Log!$A$2:$A$1001,"&gt;"&amp;AA213)+SUMIFS(Log!$D$2:$D$1001,Log!$B$2:$B$1001,A213,Log!$C$2:$C$1001,"Adjustment",Log!$A$2:$A$1001,"&gt;"&amp;AA213)))</f>
        <v/>
      </c>
      <c r="D213" s="32">
        <f>IF(A213="","",IF(X213&lt;&gt;"",X213,W213))</f>
        <v/>
      </c>
      <c r="E213" s="33">
        <f>IF(OR(A213="",N(O213)=0),"",C213/O213)</f>
        <v/>
      </c>
      <c r="F213" s="31">
        <f>IF(A213="","",MAX(0,N(T213)-SUMIFS(Log!$D$2:$D$1001,Log!$B$2:$B$1001,A213,Log!$C$2:$C$1001,"Received",Log!$A$2:$A$1001,"&gt;="&amp;N(U213))))</f>
        <v/>
      </c>
      <c r="G213" s="24" t="n"/>
      <c r="H213" s="24" t="n"/>
      <c r="I213" s="24" t="n"/>
      <c r="J213" s="24" t="n"/>
      <c r="K213" s="24" t="n"/>
      <c r="L213" s="34" t="n"/>
      <c r="M213" s="24" t="n"/>
      <c r="N213" s="24" t="n"/>
      <c r="O213" s="35" t="n"/>
      <c r="P213" s="25" t="n"/>
      <c r="Q213" s="36">
        <f>IF(A213="","",IF(P213&lt;&gt;"",P213,IFERROR(IF(N(INDEX(Suppliers!$E$5:$E$24,MATCH(H213,Suppliers!$B$5:$B$24,0)))&gt;0,INDEX(Suppliers!$E$5:$E$24,MATCH(H213,Suppliers!$B$5:$B$24,0)),5),5)))</f>
        <v/>
      </c>
      <c r="R213" s="35" t="n"/>
      <c r="S213" s="37" t="n"/>
      <c r="T213" s="25" t="n"/>
      <c r="U213" s="37" t="n"/>
      <c r="V213" s="37" t="n"/>
      <c r="W213" s="36">
        <f>IF(A213="","",ROUNDUP(N(O213)*(Q213/7+Settings!$C$5),0))</f>
        <v/>
      </c>
      <c r="X213" s="25" t="n"/>
      <c r="Y213" s="25" t="n"/>
      <c r="Z213" s="32">
        <f>IF(A213="","",IF(Y213&lt;&gt;"",Y213,MAX(1,ROUNDUP(N(O213)*Settings!$C$7,0))))</f>
        <v/>
      </c>
      <c r="AA213" s="38">
        <f>IF(A213="","",MAX(N(S213),_xlfn.MAXIFS(Log!$A$2:$A$1001,Log!$B$2:$B$1001,A213,Log!$C$2:$C$1001,"Count")))</f>
        <v/>
      </c>
      <c r="AB213" s="39">
        <f>IF(A213="","",Z213*N(L213))</f>
        <v/>
      </c>
      <c r="AC213" s="40">
        <f>IF(A213="","",N(O213)*52*N(L213))</f>
        <v/>
      </c>
      <c r="AD213" s="39">
        <f>IF(A213="","",C213*N(L213))</f>
        <v/>
      </c>
      <c r="AE213" s="41">
        <f>IF(A213="",0,IF(AND(OR(B213="Order now",B213="Critical"),F213=0),1,0))</f>
        <v/>
      </c>
      <c r="AF213" s="41">
        <f>IF(AE213=1,IFERROR(MATCH(H213,Suppliers!$B$5:$B$24,0),99)*1000+ROW(),"")</f>
        <v/>
      </c>
      <c r="AG213" s="41">
        <f>IF(AF213="","",COUNTIF('Stock list'!$AF$2:$AF$301,"&lt;"&amp;AF213)+1)</f>
        <v/>
      </c>
      <c r="AH213" s="41">
        <f>IF(A213="",0,IF(OR(AA213=0,AND(B213="OK",OR(C213&lt;=D213+N(O213)*Settings!$C$6,Settings!$C$10-AA213&gt;Settings!$C$8*7))),1,0))</f>
        <v/>
      </c>
      <c r="AI213" s="41">
        <f>IF(AH213=0,"",IF(AA213=0,"Never counted",IF(C213&lt;=D213+N(O213)*Settings!$C$6,"Near the reorder point","Not counted for "&amp;INT((Settings!$C$10-AA213)/7)&amp;" weeks")))</f>
        <v/>
      </c>
      <c r="AJ213" s="41">
        <f>IF(AH213=1,IFERROR(MATCH(M213,Settings!$G$19:$G$38,0),99)*1000+ROW(),"")</f>
        <v/>
      </c>
      <c r="AK213" s="41">
        <f>IF(AJ213="","",COUNTIF('Stock list'!$AJ$2:$AJ$301,"&lt;"&amp;AJ213)+1)</f>
        <v/>
      </c>
      <c r="AL213" s="41">
        <f>IF(OR(A213="",N(AC213)=0),"",AC213+ROW()/1000000)</f>
        <v/>
      </c>
    </row>
    <row r="214">
      <c r="A214" s="24" t="n"/>
      <c r="B214" s="30">
        <f>IF(A214="","",IF(AA214=0,"No count",IF(AND(N(O214)&gt;0,C214/O214*7&lt;Q214),"Critical",IF(F214&gt;0,"On order",IF(AND(D214&gt;0,C214&lt;=D214),"Order now","OK")))))</f>
        <v/>
      </c>
      <c r="C214" s="31">
        <f>IF(A214="","",MAX(0,IF(_xlfn.MAXIFS(Log!$A$2:$A$1001,Log!$B$2:$B$1001,A214,Log!$C$2:$C$1001,"Count")&gt;N(S214),_xlfn.MAXIFS(Log!$D$2:$D$1001,Log!$B$2:$B$1001,A214,Log!$C$2:$C$1001,"Count",Log!$A$2:$A$1001,AA214),N(R214))+SUMIFS(Log!$D$2:$D$1001,Log!$B$2:$B$1001,A214,Log!$C$2:$C$1001,"Received",Log!$A$2:$A$1001,"&gt;"&amp;AA214)-SUMIFS(Log!$D$2:$D$1001,Log!$B$2:$B$1001,A214,Log!$C$2:$C$1001,"Used",Log!$A$2:$A$1001,"&gt;"&amp;AA214)+SUMIFS(Log!$D$2:$D$1001,Log!$B$2:$B$1001,A214,Log!$C$2:$C$1001,"Adjustment",Log!$A$2:$A$1001,"&gt;"&amp;AA214)))</f>
        <v/>
      </c>
      <c r="D214" s="32">
        <f>IF(A214="","",IF(X214&lt;&gt;"",X214,W214))</f>
        <v/>
      </c>
      <c r="E214" s="33">
        <f>IF(OR(A214="",N(O214)=0),"",C214/O214)</f>
        <v/>
      </c>
      <c r="F214" s="31">
        <f>IF(A214="","",MAX(0,N(T214)-SUMIFS(Log!$D$2:$D$1001,Log!$B$2:$B$1001,A214,Log!$C$2:$C$1001,"Received",Log!$A$2:$A$1001,"&gt;="&amp;N(U214))))</f>
        <v/>
      </c>
      <c r="G214" s="24" t="n"/>
      <c r="H214" s="24" t="n"/>
      <c r="I214" s="24" t="n"/>
      <c r="J214" s="24" t="n"/>
      <c r="K214" s="24" t="n"/>
      <c r="L214" s="34" t="n"/>
      <c r="M214" s="24" t="n"/>
      <c r="N214" s="24" t="n"/>
      <c r="O214" s="35" t="n"/>
      <c r="P214" s="25" t="n"/>
      <c r="Q214" s="36">
        <f>IF(A214="","",IF(P214&lt;&gt;"",P214,IFERROR(IF(N(INDEX(Suppliers!$E$5:$E$24,MATCH(H214,Suppliers!$B$5:$B$24,0)))&gt;0,INDEX(Suppliers!$E$5:$E$24,MATCH(H214,Suppliers!$B$5:$B$24,0)),5),5)))</f>
        <v/>
      </c>
      <c r="R214" s="35" t="n"/>
      <c r="S214" s="37" t="n"/>
      <c r="T214" s="25" t="n"/>
      <c r="U214" s="37" t="n"/>
      <c r="V214" s="37" t="n"/>
      <c r="W214" s="36">
        <f>IF(A214="","",ROUNDUP(N(O214)*(Q214/7+Settings!$C$5),0))</f>
        <v/>
      </c>
      <c r="X214" s="25" t="n"/>
      <c r="Y214" s="25" t="n"/>
      <c r="Z214" s="32">
        <f>IF(A214="","",IF(Y214&lt;&gt;"",Y214,MAX(1,ROUNDUP(N(O214)*Settings!$C$7,0))))</f>
        <v/>
      </c>
      <c r="AA214" s="38">
        <f>IF(A214="","",MAX(N(S214),_xlfn.MAXIFS(Log!$A$2:$A$1001,Log!$B$2:$B$1001,A214,Log!$C$2:$C$1001,"Count")))</f>
        <v/>
      </c>
      <c r="AB214" s="39">
        <f>IF(A214="","",Z214*N(L214))</f>
        <v/>
      </c>
      <c r="AC214" s="40">
        <f>IF(A214="","",N(O214)*52*N(L214))</f>
        <v/>
      </c>
      <c r="AD214" s="39">
        <f>IF(A214="","",C214*N(L214))</f>
        <v/>
      </c>
      <c r="AE214" s="41">
        <f>IF(A214="",0,IF(AND(OR(B214="Order now",B214="Critical"),F214=0),1,0))</f>
        <v/>
      </c>
      <c r="AF214" s="41">
        <f>IF(AE214=1,IFERROR(MATCH(H214,Suppliers!$B$5:$B$24,0),99)*1000+ROW(),"")</f>
        <v/>
      </c>
      <c r="AG214" s="41">
        <f>IF(AF214="","",COUNTIF('Stock list'!$AF$2:$AF$301,"&lt;"&amp;AF214)+1)</f>
        <v/>
      </c>
      <c r="AH214" s="41">
        <f>IF(A214="",0,IF(OR(AA214=0,AND(B214="OK",OR(C214&lt;=D214+N(O214)*Settings!$C$6,Settings!$C$10-AA214&gt;Settings!$C$8*7))),1,0))</f>
        <v/>
      </c>
      <c r="AI214" s="41">
        <f>IF(AH214=0,"",IF(AA214=0,"Never counted",IF(C214&lt;=D214+N(O214)*Settings!$C$6,"Near the reorder point","Not counted for "&amp;INT((Settings!$C$10-AA214)/7)&amp;" weeks")))</f>
        <v/>
      </c>
      <c r="AJ214" s="41">
        <f>IF(AH214=1,IFERROR(MATCH(M214,Settings!$G$19:$G$38,0),99)*1000+ROW(),"")</f>
        <v/>
      </c>
      <c r="AK214" s="41">
        <f>IF(AJ214="","",COUNTIF('Stock list'!$AJ$2:$AJ$301,"&lt;"&amp;AJ214)+1)</f>
        <v/>
      </c>
      <c r="AL214" s="41">
        <f>IF(OR(A214="",N(AC214)=0),"",AC214+ROW()/1000000)</f>
        <v/>
      </c>
    </row>
    <row r="215">
      <c r="A215" s="24" t="n"/>
      <c r="B215" s="30">
        <f>IF(A215="","",IF(AA215=0,"No count",IF(AND(N(O215)&gt;0,C215/O215*7&lt;Q215),"Critical",IF(F215&gt;0,"On order",IF(AND(D215&gt;0,C215&lt;=D215),"Order now","OK")))))</f>
        <v/>
      </c>
      <c r="C215" s="31">
        <f>IF(A215="","",MAX(0,IF(_xlfn.MAXIFS(Log!$A$2:$A$1001,Log!$B$2:$B$1001,A215,Log!$C$2:$C$1001,"Count")&gt;N(S215),_xlfn.MAXIFS(Log!$D$2:$D$1001,Log!$B$2:$B$1001,A215,Log!$C$2:$C$1001,"Count",Log!$A$2:$A$1001,AA215),N(R215))+SUMIFS(Log!$D$2:$D$1001,Log!$B$2:$B$1001,A215,Log!$C$2:$C$1001,"Received",Log!$A$2:$A$1001,"&gt;"&amp;AA215)-SUMIFS(Log!$D$2:$D$1001,Log!$B$2:$B$1001,A215,Log!$C$2:$C$1001,"Used",Log!$A$2:$A$1001,"&gt;"&amp;AA215)+SUMIFS(Log!$D$2:$D$1001,Log!$B$2:$B$1001,A215,Log!$C$2:$C$1001,"Adjustment",Log!$A$2:$A$1001,"&gt;"&amp;AA215)))</f>
        <v/>
      </c>
      <c r="D215" s="32">
        <f>IF(A215="","",IF(X215&lt;&gt;"",X215,W215))</f>
        <v/>
      </c>
      <c r="E215" s="33">
        <f>IF(OR(A215="",N(O215)=0),"",C215/O215)</f>
        <v/>
      </c>
      <c r="F215" s="31">
        <f>IF(A215="","",MAX(0,N(T215)-SUMIFS(Log!$D$2:$D$1001,Log!$B$2:$B$1001,A215,Log!$C$2:$C$1001,"Received",Log!$A$2:$A$1001,"&gt;="&amp;N(U215))))</f>
        <v/>
      </c>
      <c r="G215" s="24" t="n"/>
      <c r="H215" s="24" t="n"/>
      <c r="I215" s="24" t="n"/>
      <c r="J215" s="24" t="n"/>
      <c r="K215" s="24" t="n"/>
      <c r="L215" s="34" t="n"/>
      <c r="M215" s="24" t="n"/>
      <c r="N215" s="24" t="n"/>
      <c r="O215" s="35" t="n"/>
      <c r="P215" s="25" t="n"/>
      <c r="Q215" s="36">
        <f>IF(A215="","",IF(P215&lt;&gt;"",P215,IFERROR(IF(N(INDEX(Suppliers!$E$5:$E$24,MATCH(H215,Suppliers!$B$5:$B$24,0)))&gt;0,INDEX(Suppliers!$E$5:$E$24,MATCH(H215,Suppliers!$B$5:$B$24,0)),5),5)))</f>
        <v/>
      </c>
      <c r="R215" s="35" t="n"/>
      <c r="S215" s="37" t="n"/>
      <c r="T215" s="25" t="n"/>
      <c r="U215" s="37" t="n"/>
      <c r="V215" s="37" t="n"/>
      <c r="W215" s="36">
        <f>IF(A215="","",ROUNDUP(N(O215)*(Q215/7+Settings!$C$5),0))</f>
        <v/>
      </c>
      <c r="X215" s="25" t="n"/>
      <c r="Y215" s="25" t="n"/>
      <c r="Z215" s="32">
        <f>IF(A215="","",IF(Y215&lt;&gt;"",Y215,MAX(1,ROUNDUP(N(O215)*Settings!$C$7,0))))</f>
        <v/>
      </c>
      <c r="AA215" s="38">
        <f>IF(A215="","",MAX(N(S215),_xlfn.MAXIFS(Log!$A$2:$A$1001,Log!$B$2:$B$1001,A215,Log!$C$2:$C$1001,"Count")))</f>
        <v/>
      </c>
      <c r="AB215" s="39">
        <f>IF(A215="","",Z215*N(L215))</f>
        <v/>
      </c>
      <c r="AC215" s="40">
        <f>IF(A215="","",N(O215)*52*N(L215))</f>
        <v/>
      </c>
      <c r="AD215" s="39">
        <f>IF(A215="","",C215*N(L215))</f>
        <v/>
      </c>
      <c r="AE215" s="41">
        <f>IF(A215="",0,IF(AND(OR(B215="Order now",B215="Critical"),F215=0),1,0))</f>
        <v/>
      </c>
      <c r="AF215" s="41">
        <f>IF(AE215=1,IFERROR(MATCH(H215,Suppliers!$B$5:$B$24,0),99)*1000+ROW(),"")</f>
        <v/>
      </c>
      <c r="AG215" s="41">
        <f>IF(AF215="","",COUNTIF('Stock list'!$AF$2:$AF$301,"&lt;"&amp;AF215)+1)</f>
        <v/>
      </c>
      <c r="AH215" s="41">
        <f>IF(A215="",0,IF(OR(AA215=0,AND(B215="OK",OR(C215&lt;=D215+N(O215)*Settings!$C$6,Settings!$C$10-AA215&gt;Settings!$C$8*7))),1,0))</f>
        <v/>
      </c>
      <c r="AI215" s="41">
        <f>IF(AH215=0,"",IF(AA215=0,"Never counted",IF(C215&lt;=D215+N(O215)*Settings!$C$6,"Near the reorder point","Not counted for "&amp;INT((Settings!$C$10-AA215)/7)&amp;" weeks")))</f>
        <v/>
      </c>
      <c r="AJ215" s="41">
        <f>IF(AH215=1,IFERROR(MATCH(M215,Settings!$G$19:$G$38,0),99)*1000+ROW(),"")</f>
        <v/>
      </c>
      <c r="AK215" s="41">
        <f>IF(AJ215="","",COUNTIF('Stock list'!$AJ$2:$AJ$301,"&lt;"&amp;AJ215)+1)</f>
        <v/>
      </c>
      <c r="AL215" s="41">
        <f>IF(OR(A215="",N(AC215)=0),"",AC215+ROW()/1000000)</f>
        <v/>
      </c>
    </row>
    <row r="216">
      <c r="A216" s="24" t="n"/>
      <c r="B216" s="30">
        <f>IF(A216="","",IF(AA216=0,"No count",IF(AND(N(O216)&gt;0,C216/O216*7&lt;Q216),"Critical",IF(F216&gt;0,"On order",IF(AND(D216&gt;0,C216&lt;=D216),"Order now","OK")))))</f>
        <v/>
      </c>
      <c r="C216" s="31">
        <f>IF(A216="","",MAX(0,IF(_xlfn.MAXIFS(Log!$A$2:$A$1001,Log!$B$2:$B$1001,A216,Log!$C$2:$C$1001,"Count")&gt;N(S216),_xlfn.MAXIFS(Log!$D$2:$D$1001,Log!$B$2:$B$1001,A216,Log!$C$2:$C$1001,"Count",Log!$A$2:$A$1001,AA216),N(R216))+SUMIFS(Log!$D$2:$D$1001,Log!$B$2:$B$1001,A216,Log!$C$2:$C$1001,"Received",Log!$A$2:$A$1001,"&gt;"&amp;AA216)-SUMIFS(Log!$D$2:$D$1001,Log!$B$2:$B$1001,A216,Log!$C$2:$C$1001,"Used",Log!$A$2:$A$1001,"&gt;"&amp;AA216)+SUMIFS(Log!$D$2:$D$1001,Log!$B$2:$B$1001,A216,Log!$C$2:$C$1001,"Adjustment",Log!$A$2:$A$1001,"&gt;"&amp;AA216)))</f>
        <v/>
      </c>
      <c r="D216" s="32">
        <f>IF(A216="","",IF(X216&lt;&gt;"",X216,W216))</f>
        <v/>
      </c>
      <c r="E216" s="33">
        <f>IF(OR(A216="",N(O216)=0),"",C216/O216)</f>
        <v/>
      </c>
      <c r="F216" s="31">
        <f>IF(A216="","",MAX(0,N(T216)-SUMIFS(Log!$D$2:$D$1001,Log!$B$2:$B$1001,A216,Log!$C$2:$C$1001,"Received",Log!$A$2:$A$1001,"&gt;="&amp;N(U216))))</f>
        <v/>
      </c>
      <c r="G216" s="24" t="n"/>
      <c r="H216" s="24" t="n"/>
      <c r="I216" s="24" t="n"/>
      <c r="J216" s="24" t="n"/>
      <c r="K216" s="24" t="n"/>
      <c r="L216" s="34" t="n"/>
      <c r="M216" s="24" t="n"/>
      <c r="N216" s="24" t="n"/>
      <c r="O216" s="35" t="n"/>
      <c r="P216" s="25" t="n"/>
      <c r="Q216" s="36">
        <f>IF(A216="","",IF(P216&lt;&gt;"",P216,IFERROR(IF(N(INDEX(Suppliers!$E$5:$E$24,MATCH(H216,Suppliers!$B$5:$B$24,0)))&gt;0,INDEX(Suppliers!$E$5:$E$24,MATCH(H216,Suppliers!$B$5:$B$24,0)),5),5)))</f>
        <v/>
      </c>
      <c r="R216" s="35" t="n"/>
      <c r="S216" s="37" t="n"/>
      <c r="T216" s="25" t="n"/>
      <c r="U216" s="37" t="n"/>
      <c r="V216" s="37" t="n"/>
      <c r="W216" s="36">
        <f>IF(A216="","",ROUNDUP(N(O216)*(Q216/7+Settings!$C$5),0))</f>
        <v/>
      </c>
      <c r="X216" s="25" t="n"/>
      <c r="Y216" s="25" t="n"/>
      <c r="Z216" s="32">
        <f>IF(A216="","",IF(Y216&lt;&gt;"",Y216,MAX(1,ROUNDUP(N(O216)*Settings!$C$7,0))))</f>
        <v/>
      </c>
      <c r="AA216" s="38">
        <f>IF(A216="","",MAX(N(S216),_xlfn.MAXIFS(Log!$A$2:$A$1001,Log!$B$2:$B$1001,A216,Log!$C$2:$C$1001,"Count")))</f>
        <v/>
      </c>
      <c r="AB216" s="39">
        <f>IF(A216="","",Z216*N(L216))</f>
        <v/>
      </c>
      <c r="AC216" s="40">
        <f>IF(A216="","",N(O216)*52*N(L216))</f>
        <v/>
      </c>
      <c r="AD216" s="39">
        <f>IF(A216="","",C216*N(L216))</f>
        <v/>
      </c>
      <c r="AE216" s="41">
        <f>IF(A216="",0,IF(AND(OR(B216="Order now",B216="Critical"),F216=0),1,0))</f>
        <v/>
      </c>
      <c r="AF216" s="41">
        <f>IF(AE216=1,IFERROR(MATCH(H216,Suppliers!$B$5:$B$24,0),99)*1000+ROW(),"")</f>
        <v/>
      </c>
      <c r="AG216" s="41">
        <f>IF(AF216="","",COUNTIF('Stock list'!$AF$2:$AF$301,"&lt;"&amp;AF216)+1)</f>
        <v/>
      </c>
      <c r="AH216" s="41">
        <f>IF(A216="",0,IF(OR(AA216=0,AND(B216="OK",OR(C216&lt;=D216+N(O216)*Settings!$C$6,Settings!$C$10-AA216&gt;Settings!$C$8*7))),1,0))</f>
        <v/>
      </c>
      <c r="AI216" s="41">
        <f>IF(AH216=0,"",IF(AA216=0,"Never counted",IF(C216&lt;=D216+N(O216)*Settings!$C$6,"Near the reorder point","Not counted for "&amp;INT((Settings!$C$10-AA216)/7)&amp;" weeks")))</f>
        <v/>
      </c>
      <c r="AJ216" s="41">
        <f>IF(AH216=1,IFERROR(MATCH(M216,Settings!$G$19:$G$38,0),99)*1000+ROW(),"")</f>
        <v/>
      </c>
      <c r="AK216" s="41">
        <f>IF(AJ216="","",COUNTIF('Stock list'!$AJ$2:$AJ$301,"&lt;"&amp;AJ216)+1)</f>
        <v/>
      </c>
      <c r="AL216" s="41">
        <f>IF(OR(A216="",N(AC216)=0),"",AC216+ROW()/1000000)</f>
        <v/>
      </c>
    </row>
    <row r="217">
      <c r="A217" s="24" t="n"/>
      <c r="B217" s="30">
        <f>IF(A217="","",IF(AA217=0,"No count",IF(AND(N(O217)&gt;0,C217/O217*7&lt;Q217),"Critical",IF(F217&gt;0,"On order",IF(AND(D217&gt;0,C217&lt;=D217),"Order now","OK")))))</f>
        <v/>
      </c>
      <c r="C217" s="31">
        <f>IF(A217="","",MAX(0,IF(_xlfn.MAXIFS(Log!$A$2:$A$1001,Log!$B$2:$B$1001,A217,Log!$C$2:$C$1001,"Count")&gt;N(S217),_xlfn.MAXIFS(Log!$D$2:$D$1001,Log!$B$2:$B$1001,A217,Log!$C$2:$C$1001,"Count",Log!$A$2:$A$1001,AA217),N(R217))+SUMIFS(Log!$D$2:$D$1001,Log!$B$2:$B$1001,A217,Log!$C$2:$C$1001,"Received",Log!$A$2:$A$1001,"&gt;"&amp;AA217)-SUMIFS(Log!$D$2:$D$1001,Log!$B$2:$B$1001,A217,Log!$C$2:$C$1001,"Used",Log!$A$2:$A$1001,"&gt;"&amp;AA217)+SUMIFS(Log!$D$2:$D$1001,Log!$B$2:$B$1001,A217,Log!$C$2:$C$1001,"Adjustment",Log!$A$2:$A$1001,"&gt;"&amp;AA217)))</f>
        <v/>
      </c>
      <c r="D217" s="32">
        <f>IF(A217="","",IF(X217&lt;&gt;"",X217,W217))</f>
        <v/>
      </c>
      <c r="E217" s="33">
        <f>IF(OR(A217="",N(O217)=0),"",C217/O217)</f>
        <v/>
      </c>
      <c r="F217" s="31">
        <f>IF(A217="","",MAX(0,N(T217)-SUMIFS(Log!$D$2:$D$1001,Log!$B$2:$B$1001,A217,Log!$C$2:$C$1001,"Received",Log!$A$2:$A$1001,"&gt;="&amp;N(U217))))</f>
        <v/>
      </c>
      <c r="G217" s="24" t="n"/>
      <c r="H217" s="24" t="n"/>
      <c r="I217" s="24" t="n"/>
      <c r="J217" s="24" t="n"/>
      <c r="K217" s="24" t="n"/>
      <c r="L217" s="34" t="n"/>
      <c r="M217" s="24" t="n"/>
      <c r="N217" s="24" t="n"/>
      <c r="O217" s="35" t="n"/>
      <c r="P217" s="25" t="n"/>
      <c r="Q217" s="36">
        <f>IF(A217="","",IF(P217&lt;&gt;"",P217,IFERROR(IF(N(INDEX(Suppliers!$E$5:$E$24,MATCH(H217,Suppliers!$B$5:$B$24,0)))&gt;0,INDEX(Suppliers!$E$5:$E$24,MATCH(H217,Suppliers!$B$5:$B$24,0)),5),5)))</f>
        <v/>
      </c>
      <c r="R217" s="35" t="n"/>
      <c r="S217" s="37" t="n"/>
      <c r="T217" s="25" t="n"/>
      <c r="U217" s="37" t="n"/>
      <c r="V217" s="37" t="n"/>
      <c r="W217" s="36">
        <f>IF(A217="","",ROUNDUP(N(O217)*(Q217/7+Settings!$C$5),0))</f>
        <v/>
      </c>
      <c r="X217" s="25" t="n"/>
      <c r="Y217" s="25" t="n"/>
      <c r="Z217" s="32">
        <f>IF(A217="","",IF(Y217&lt;&gt;"",Y217,MAX(1,ROUNDUP(N(O217)*Settings!$C$7,0))))</f>
        <v/>
      </c>
      <c r="AA217" s="38">
        <f>IF(A217="","",MAX(N(S217),_xlfn.MAXIFS(Log!$A$2:$A$1001,Log!$B$2:$B$1001,A217,Log!$C$2:$C$1001,"Count")))</f>
        <v/>
      </c>
      <c r="AB217" s="39">
        <f>IF(A217="","",Z217*N(L217))</f>
        <v/>
      </c>
      <c r="AC217" s="40">
        <f>IF(A217="","",N(O217)*52*N(L217))</f>
        <v/>
      </c>
      <c r="AD217" s="39">
        <f>IF(A217="","",C217*N(L217))</f>
        <v/>
      </c>
      <c r="AE217" s="41">
        <f>IF(A217="",0,IF(AND(OR(B217="Order now",B217="Critical"),F217=0),1,0))</f>
        <v/>
      </c>
      <c r="AF217" s="41">
        <f>IF(AE217=1,IFERROR(MATCH(H217,Suppliers!$B$5:$B$24,0),99)*1000+ROW(),"")</f>
        <v/>
      </c>
      <c r="AG217" s="41">
        <f>IF(AF217="","",COUNTIF('Stock list'!$AF$2:$AF$301,"&lt;"&amp;AF217)+1)</f>
        <v/>
      </c>
      <c r="AH217" s="41">
        <f>IF(A217="",0,IF(OR(AA217=0,AND(B217="OK",OR(C217&lt;=D217+N(O217)*Settings!$C$6,Settings!$C$10-AA217&gt;Settings!$C$8*7))),1,0))</f>
        <v/>
      </c>
      <c r="AI217" s="41">
        <f>IF(AH217=0,"",IF(AA217=0,"Never counted",IF(C217&lt;=D217+N(O217)*Settings!$C$6,"Near the reorder point","Not counted for "&amp;INT((Settings!$C$10-AA217)/7)&amp;" weeks")))</f>
        <v/>
      </c>
      <c r="AJ217" s="41">
        <f>IF(AH217=1,IFERROR(MATCH(M217,Settings!$G$19:$G$38,0),99)*1000+ROW(),"")</f>
        <v/>
      </c>
      <c r="AK217" s="41">
        <f>IF(AJ217="","",COUNTIF('Stock list'!$AJ$2:$AJ$301,"&lt;"&amp;AJ217)+1)</f>
        <v/>
      </c>
      <c r="AL217" s="41">
        <f>IF(OR(A217="",N(AC217)=0),"",AC217+ROW()/1000000)</f>
        <v/>
      </c>
    </row>
    <row r="218">
      <c r="A218" s="24" t="n"/>
      <c r="B218" s="30">
        <f>IF(A218="","",IF(AA218=0,"No count",IF(AND(N(O218)&gt;0,C218/O218*7&lt;Q218),"Critical",IF(F218&gt;0,"On order",IF(AND(D218&gt;0,C218&lt;=D218),"Order now","OK")))))</f>
        <v/>
      </c>
      <c r="C218" s="31">
        <f>IF(A218="","",MAX(0,IF(_xlfn.MAXIFS(Log!$A$2:$A$1001,Log!$B$2:$B$1001,A218,Log!$C$2:$C$1001,"Count")&gt;N(S218),_xlfn.MAXIFS(Log!$D$2:$D$1001,Log!$B$2:$B$1001,A218,Log!$C$2:$C$1001,"Count",Log!$A$2:$A$1001,AA218),N(R218))+SUMIFS(Log!$D$2:$D$1001,Log!$B$2:$B$1001,A218,Log!$C$2:$C$1001,"Received",Log!$A$2:$A$1001,"&gt;"&amp;AA218)-SUMIFS(Log!$D$2:$D$1001,Log!$B$2:$B$1001,A218,Log!$C$2:$C$1001,"Used",Log!$A$2:$A$1001,"&gt;"&amp;AA218)+SUMIFS(Log!$D$2:$D$1001,Log!$B$2:$B$1001,A218,Log!$C$2:$C$1001,"Adjustment",Log!$A$2:$A$1001,"&gt;"&amp;AA218)))</f>
        <v/>
      </c>
      <c r="D218" s="32">
        <f>IF(A218="","",IF(X218&lt;&gt;"",X218,W218))</f>
        <v/>
      </c>
      <c r="E218" s="33">
        <f>IF(OR(A218="",N(O218)=0),"",C218/O218)</f>
        <v/>
      </c>
      <c r="F218" s="31">
        <f>IF(A218="","",MAX(0,N(T218)-SUMIFS(Log!$D$2:$D$1001,Log!$B$2:$B$1001,A218,Log!$C$2:$C$1001,"Received",Log!$A$2:$A$1001,"&gt;="&amp;N(U218))))</f>
        <v/>
      </c>
      <c r="G218" s="24" t="n"/>
      <c r="H218" s="24" t="n"/>
      <c r="I218" s="24" t="n"/>
      <c r="J218" s="24" t="n"/>
      <c r="K218" s="24" t="n"/>
      <c r="L218" s="34" t="n"/>
      <c r="M218" s="24" t="n"/>
      <c r="N218" s="24" t="n"/>
      <c r="O218" s="35" t="n"/>
      <c r="P218" s="25" t="n"/>
      <c r="Q218" s="36">
        <f>IF(A218="","",IF(P218&lt;&gt;"",P218,IFERROR(IF(N(INDEX(Suppliers!$E$5:$E$24,MATCH(H218,Suppliers!$B$5:$B$24,0)))&gt;0,INDEX(Suppliers!$E$5:$E$24,MATCH(H218,Suppliers!$B$5:$B$24,0)),5),5)))</f>
        <v/>
      </c>
      <c r="R218" s="35" t="n"/>
      <c r="S218" s="37" t="n"/>
      <c r="T218" s="25" t="n"/>
      <c r="U218" s="37" t="n"/>
      <c r="V218" s="37" t="n"/>
      <c r="W218" s="36">
        <f>IF(A218="","",ROUNDUP(N(O218)*(Q218/7+Settings!$C$5),0))</f>
        <v/>
      </c>
      <c r="X218" s="25" t="n"/>
      <c r="Y218" s="25" t="n"/>
      <c r="Z218" s="32">
        <f>IF(A218="","",IF(Y218&lt;&gt;"",Y218,MAX(1,ROUNDUP(N(O218)*Settings!$C$7,0))))</f>
        <v/>
      </c>
      <c r="AA218" s="38">
        <f>IF(A218="","",MAX(N(S218),_xlfn.MAXIFS(Log!$A$2:$A$1001,Log!$B$2:$B$1001,A218,Log!$C$2:$C$1001,"Count")))</f>
        <v/>
      </c>
      <c r="AB218" s="39">
        <f>IF(A218="","",Z218*N(L218))</f>
        <v/>
      </c>
      <c r="AC218" s="40">
        <f>IF(A218="","",N(O218)*52*N(L218))</f>
        <v/>
      </c>
      <c r="AD218" s="39">
        <f>IF(A218="","",C218*N(L218))</f>
        <v/>
      </c>
      <c r="AE218" s="41">
        <f>IF(A218="",0,IF(AND(OR(B218="Order now",B218="Critical"),F218=0),1,0))</f>
        <v/>
      </c>
      <c r="AF218" s="41">
        <f>IF(AE218=1,IFERROR(MATCH(H218,Suppliers!$B$5:$B$24,0),99)*1000+ROW(),"")</f>
        <v/>
      </c>
      <c r="AG218" s="41">
        <f>IF(AF218="","",COUNTIF('Stock list'!$AF$2:$AF$301,"&lt;"&amp;AF218)+1)</f>
        <v/>
      </c>
      <c r="AH218" s="41">
        <f>IF(A218="",0,IF(OR(AA218=0,AND(B218="OK",OR(C218&lt;=D218+N(O218)*Settings!$C$6,Settings!$C$10-AA218&gt;Settings!$C$8*7))),1,0))</f>
        <v/>
      </c>
      <c r="AI218" s="41">
        <f>IF(AH218=0,"",IF(AA218=0,"Never counted",IF(C218&lt;=D218+N(O218)*Settings!$C$6,"Near the reorder point","Not counted for "&amp;INT((Settings!$C$10-AA218)/7)&amp;" weeks")))</f>
        <v/>
      </c>
      <c r="AJ218" s="41">
        <f>IF(AH218=1,IFERROR(MATCH(M218,Settings!$G$19:$G$38,0),99)*1000+ROW(),"")</f>
        <v/>
      </c>
      <c r="AK218" s="41">
        <f>IF(AJ218="","",COUNTIF('Stock list'!$AJ$2:$AJ$301,"&lt;"&amp;AJ218)+1)</f>
        <v/>
      </c>
      <c r="AL218" s="41">
        <f>IF(OR(A218="",N(AC218)=0),"",AC218+ROW()/1000000)</f>
        <v/>
      </c>
    </row>
    <row r="219">
      <c r="A219" s="24" t="n"/>
      <c r="B219" s="30">
        <f>IF(A219="","",IF(AA219=0,"No count",IF(AND(N(O219)&gt;0,C219/O219*7&lt;Q219),"Critical",IF(F219&gt;0,"On order",IF(AND(D219&gt;0,C219&lt;=D219),"Order now","OK")))))</f>
        <v/>
      </c>
      <c r="C219" s="31">
        <f>IF(A219="","",MAX(0,IF(_xlfn.MAXIFS(Log!$A$2:$A$1001,Log!$B$2:$B$1001,A219,Log!$C$2:$C$1001,"Count")&gt;N(S219),_xlfn.MAXIFS(Log!$D$2:$D$1001,Log!$B$2:$B$1001,A219,Log!$C$2:$C$1001,"Count",Log!$A$2:$A$1001,AA219),N(R219))+SUMIFS(Log!$D$2:$D$1001,Log!$B$2:$B$1001,A219,Log!$C$2:$C$1001,"Received",Log!$A$2:$A$1001,"&gt;"&amp;AA219)-SUMIFS(Log!$D$2:$D$1001,Log!$B$2:$B$1001,A219,Log!$C$2:$C$1001,"Used",Log!$A$2:$A$1001,"&gt;"&amp;AA219)+SUMIFS(Log!$D$2:$D$1001,Log!$B$2:$B$1001,A219,Log!$C$2:$C$1001,"Adjustment",Log!$A$2:$A$1001,"&gt;"&amp;AA219)))</f>
        <v/>
      </c>
      <c r="D219" s="32">
        <f>IF(A219="","",IF(X219&lt;&gt;"",X219,W219))</f>
        <v/>
      </c>
      <c r="E219" s="33">
        <f>IF(OR(A219="",N(O219)=0),"",C219/O219)</f>
        <v/>
      </c>
      <c r="F219" s="31">
        <f>IF(A219="","",MAX(0,N(T219)-SUMIFS(Log!$D$2:$D$1001,Log!$B$2:$B$1001,A219,Log!$C$2:$C$1001,"Received",Log!$A$2:$A$1001,"&gt;="&amp;N(U219))))</f>
        <v/>
      </c>
      <c r="G219" s="24" t="n"/>
      <c r="H219" s="24" t="n"/>
      <c r="I219" s="24" t="n"/>
      <c r="J219" s="24" t="n"/>
      <c r="K219" s="24" t="n"/>
      <c r="L219" s="34" t="n"/>
      <c r="M219" s="24" t="n"/>
      <c r="N219" s="24" t="n"/>
      <c r="O219" s="35" t="n"/>
      <c r="P219" s="25" t="n"/>
      <c r="Q219" s="36">
        <f>IF(A219="","",IF(P219&lt;&gt;"",P219,IFERROR(IF(N(INDEX(Suppliers!$E$5:$E$24,MATCH(H219,Suppliers!$B$5:$B$24,0)))&gt;0,INDEX(Suppliers!$E$5:$E$24,MATCH(H219,Suppliers!$B$5:$B$24,0)),5),5)))</f>
        <v/>
      </c>
      <c r="R219" s="35" t="n"/>
      <c r="S219" s="37" t="n"/>
      <c r="T219" s="25" t="n"/>
      <c r="U219" s="37" t="n"/>
      <c r="V219" s="37" t="n"/>
      <c r="W219" s="36">
        <f>IF(A219="","",ROUNDUP(N(O219)*(Q219/7+Settings!$C$5),0))</f>
        <v/>
      </c>
      <c r="X219" s="25" t="n"/>
      <c r="Y219" s="25" t="n"/>
      <c r="Z219" s="32">
        <f>IF(A219="","",IF(Y219&lt;&gt;"",Y219,MAX(1,ROUNDUP(N(O219)*Settings!$C$7,0))))</f>
        <v/>
      </c>
      <c r="AA219" s="38">
        <f>IF(A219="","",MAX(N(S219),_xlfn.MAXIFS(Log!$A$2:$A$1001,Log!$B$2:$B$1001,A219,Log!$C$2:$C$1001,"Count")))</f>
        <v/>
      </c>
      <c r="AB219" s="39">
        <f>IF(A219="","",Z219*N(L219))</f>
        <v/>
      </c>
      <c r="AC219" s="40">
        <f>IF(A219="","",N(O219)*52*N(L219))</f>
        <v/>
      </c>
      <c r="AD219" s="39">
        <f>IF(A219="","",C219*N(L219))</f>
        <v/>
      </c>
      <c r="AE219" s="41">
        <f>IF(A219="",0,IF(AND(OR(B219="Order now",B219="Critical"),F219=0),1,0))</f>
        <v/>
      </c>
      <c r="AF219" s="41">
        <f>IF(AE219=1,IFERROR(MATCH(H219,Suppliers!$B$5:$B$24,0),99)*1000+ROW(),"")</f>
        <v/>
      </c>
      <c r="AG219" s="41">
        <f>IF(AF219="","",COUNTIF('Stock list'!$AF$2:$AF$301,"&lt;"&amp;AF219)+1)</f>
        <v/>
      </c>
      <c r="AH219" s="41">
        <f>IF(A219="",0,IF(OR(AA219=0,AND(B219="OK",OR(C219&lt;=D219+N(O219)*Settings!$C$6,Settings!$C$10-AA219&gt;Settings!$C$8*7))),1,0))</f>
        <v/>
      </c>
      <c r="AI219" s="41">
        <f>IF(AH219=0,"",IF(AA219=0,"Never counted",IF(C219&lt;=D219+N(O219)*Settings!$C$6,"Near the reorder point","Not counted for "&amp;INT((Settings!$C$10-AA219)/7)&amp;" weeks")))</f>
        <v/>
      </c>
      <c r="AJ219" s="41">
        <f>IF(AH219=1,IFERROR(MATCH(M219,Settings!$G$19:$G$38,0),99)*1000+ROW(),"")</f>
        <v/>
      </c>
      <c r="AK219" s="41">
        <f>IF(AJ219="","",COUNTIF('Stock list'!$AJ$2:$AJ$301,"&lt;"&amp;AJ219)+1)</f>
        <v/>
      </c>
      <c r="AL219" s="41">
        <f>IF(OR(A219="",N(AC219)=0),"",AC219+ROW()/1000000)</f>
        <v/>
      </c>
    </row>
    <row r="220">
      <c r="A220" s="24" t="n"/>
      <c r="B220" s="30">
        <f>IF(A220="","",IF(AA220=0,"No count",IF(AND(N(O220)&gt;0,C220/O220*7&lt;Q220),"Critical",IF(F220&gt;0,"On order",IF(AND(D220&gt;0,C220&lt;=D220),"Order now","OK")))))</f>
        <v/>
      </c>
      <c r="C220" s="31">
        <f>IF(A220="","",MAX(0,IF(_xlfn.MAXIFS(Log!$A$2:$A$1001,Log!$B$2:$B$1001,A220,Log!$C$2:$C$1001,"Count")&gt;N(S220),_xlfn.MAXIFS(Log!$D$2:$D$1001,Log!$B$2:$B$1001,A220,Log!$C$2:$C$1001,"Count",Log!$A$2:$A$1001,AA220),N(R220))+SUMIFS(Log!$D$2:$D$1001,Log!$B$2:$B$1001,A220,Log!$C$2:$C$1001,"Received",Log!$A$2:$A$1001,"&gt;"&amp;AA220)-SUMIFS(Log!$D$2:$D$1001,Log!$B$2:$B$1001,A220,Log!$C$2:$C$1001,"Used",Log!$A$2:$A$1001,"&gt;"&amp;AA220)+SUMIFS(Log!$D$2:$D$1001,Log!$B$2:$B$1001,A220,Log!$C$2:$C$1001,"Adjustment",Log!$A$2:$A$1001,"&gt;"&amp;AA220)))</f>
        <v/>
      </c>
      <c r="D220" s="32">
        <f>IF(A220="","",IF(X220&lt;&gt;"",X220,W220))</f>
        <v/>
      </c>
      <c r="E220" s="33">
        <f>IF(OR(A220="",N(O220)=0),"",C220/O220)</f>
        <v/>
      </c>
      <c r="F220" s="31">
        <f>IF(A220="","",MAX(0,N(T220)-SUMIFS(Log!$D$2:$D$1001,Log!$B$2:$B$1001,A220,Log!$C$2:$C$1001,"Received",Log!$A$2:$A$1001,"&gt;="&amp;N(U220))))</f>
        <v/>
      </c>
      <c r="G220" s="24" t="n"/>
      <c r="H220" s="24" t="n"/>
      <c r="I220" s="24" t="n"/>
      <c r="J220" s="24" t="n"/>
      <c r="K220" s="24" t="n"/>
      <c r="L220" s="34" t="n"/>
      <c r="M220" s="24" t="n"/>
      <c r="N220" s="24" t="n"/>
      <c r="O220" s="35" t="n"/>
      <c r="P220" s="25" t="n"/>
      <c r="Q220" s="36">
        <f>IF(A220="","",IF(P220&lt;&gt;"",P220,IFERROR(IF(N(INDEX(Suppliers!$E$5:$E$24,MATCH(H220,Suppliers!$B$5:$B$24,0)))&gt;0,INDEX(Suppliers!$E$5:$E$24,MATCH(H220,Suppliers!$B$5:$B$24,0)),5),5)))</f>
        <v/>
      </c>
      <c r="R220" s="35" t="n"/>
      <c r="S220" s="37" t="n"/>
      <c r="T220" s="25" t="n"/>
      <c r="U220" s="37" t="n"/>
      <c r="V220" s="37" t="n"/>
      <c r="W220" s="36">
        <f>IF(A220="","",ROUNDUP(N(O220)*(Q220/7+Settings!$C$5),0))</f>
        <v/>
      </c>
      <c r="X220" s="25" t="n"/>
      <c r="Y220" s="25" t="n"/>
      <c r="Z220" s="32">
        <f>IF(A220="","",IF(Y220&lt;&gt;"",Y220,MAX(1,ROUNDUP(N(O220)*Settings!$C$7,0))))</f>
        <v/>
      </c>
      <c r="AA220" s="38">
        <f>IF(A220="","",MAX(N(S220),_xlfn.MAXIFS(Log!$A$2:$A$1001,Log!$B$2:$B$1001,A220,Log!$C$2:$C$1001,"Count")))</f>
        <v/>
      </c>
      <c r="AB220" s="39">
        <f>IF(A220="","",Z220*N(L220))</f>
        <v/>
      </c>
      <c r="AC220" s="40">
        <f>IF(A220="","",N(O220)*52*N(L220))</f>
        <v/>
      </c>
      <c r="AD220" s="39">
        <f>IF(A220="","",C220*N(L220))</f>
        <v/>
      </c>
      <c r="AE220" s="41">
        <f>IF(A220="",0,IF(AND(OR(B220="Order now",B220="Critical"),F220=0),1,0))</f>
        <v/>
      </c>
      <c r="AF220" s="41">
        <f>IF(AE220=1,IFERROR(MATCH(H220,Suppliers!$B$5:$B$24,0),99)*1000+ROW(),"")</f>
        <v/>
      </c>
      <c r="AG220" s="41">
        <f>IF(AF220="","",COUNTIF('Stock list'!$AF$2:$AF$301,"&lt;"&amp;AF220)+1)</f>
        <v/>
      </c>
      <c r="AH220" s="41">
        <f>IF(A220="",0,IF(OR(AA220=0,AND(B220="OK",OR(C220&lt;=D220+N(O220)*Settings!$C$6,Settings!$C$10-AA220&gt;Settings!$C$8*7))),1,0))</f>
        <v/>
      </c>
      <c r="AI220" s="41">
        <f>IF(AH220=0,"",IF(AA220=0,"Never counted",IF(C220&lt;=D220+N(O220)*Settings!$C$6,"Near the reorder point","Not counted for "&amp;INT((Settings!$C$10-AA220)/7)&amp;" weeks")))</f>
        <v/>
      </c>
      <c r="AJ220" s="41">
        <f>IF(AH220=1,IFERROR(MATCH(M220,Settings!$G$19:$G$38,0),99)*1000+ROW(),"")</f>
        <v/>
      </c>
      <c r="AK220" s="41">
        <f>IF(AJ220="","",COUNTIF('Stock list'!$AJ$2:$AJ$301,"&lt;"&amp;AJ220)+1)</f>
        <v/>
      </c>
      <c r="AL220" s="41">
        <f>IF(OR(A220="",N(AC220)=0),"",AC220+ROW()/1000000)</f>
        <v/>
      </c>
    </row>
    <row r="221">
      <c r="A221" s="24" t="n"/>
      <c r="B221" s="30">
        <f>IF(A221="","",IF(AA221=0,"No count",IF(AND(N(O221)&gt;0,C221/O221*7&lt;Q221),"Critical",IF(F221&gt;0,"On order",IF(AND(D221&gt;0,C221&lt;=D221),"Order now","OK")))))</f>
        <v/>
      </c>
      <c r="C221" s="31">
        <f>IF(A221="","",MAX(0,IF(_xlfn.MAXIFS(Log!$A$2:$A$1001,Log!$B$2:$B$1001,A221,Log!$C$2:$C$1001,"Count")&gt;N(S221),_xlfn.MAXIFS(Log!$D$2:$D$1001,Log!$B$2:$B$1001,A221,Log!$C$2:$C$1001,"Count",Log!$A$2:$A$1001,AA221),N(R221))+SUMIFS(Log!$D$2:$D$1001,Log!$B$2:$B$1001,A221,Log!$C$2:$C$1001,"Received",Log!$A$2:$A$1001,"&gt;"&amp;AA221)-SUMIFS(Log!$D$2:$D$1001,Log!$B$2:$B$1001,A221,Log!$C$2:$C$1001,"Used",Log!$A$2:$A$1001,"&gt;"&amp;AA221)+SUMIFS(Log!$D$2:$D$1001,Log!$B$2:$B$1001,A221,Log!$C$2:$C$1001,"Adjustment",Log!$A$2:$A$1001,"&gt;"&amp;AA221)))</f>
        <v/>
      </c>
      <c r="D221" s="32">
        <f>IF(A221="","",IF(X221&lt;&gt;"",X221,W221))</f>
        <v/>
      </c>
      <c r="E221" s="33">
        <f>IF(OR(A221="",N(O221)=0),"",C221/O221)</f>
        <v/>
      </c>
      <c r="F221" s="31">
        <f>IF(A221="","",MAX(0,N(T221)-SUMIFS(Log!$D$2:$D$1001,Log!$B$2:$B$1001,A221,Log!$C$2:$C$1001,"Received",Log!$A$2:$A$1001,"&gt;="&amp;N(U221))))</f>
        <v/>
      </c>
      <c r="G221" s="24" t="n"/>
      <c r="H221" s="24" t="n"/>
      <c r="I221" s="24" t="n"/>
      <c r="J221" s="24" t="n"/>
      <c r="K221" s="24" t="n"/>
      <c r="L221" s="34" t="n"/>
      <c r="M221" s="24" t="n"/>
      <c r="N221" s="24" t="n"/>
      <c r="O221" s="35" t="n"/>
      <c r="P221" s="25" t="n"/>
      <c r="Q221" s="36">
        <f>IF(A221="","",IF(P221&lt;&gt;"",P221,IFERROR(IF(N(INDEX(Suppliers!$E$5:$E$24,MATCH(H221,Suppliers!$B$5:$B$24,0)))&gt;0,INDEX(Suppliers!$E$5:$E$24,MATCH(H221,Suppliers!$B$5:$B$24,0)),5),5)))</f>
        <v/>
      </c>
      <c r="R221" s="35" t="n"/>
      <c r="S221" s="37" t="n"/>
      <c r="T221" s="25" t="n"/>
      <c r="U221" s="37" t="n"/>
      <c r="V221" s="37" t="n"/>
      <c r="W221" s="36">
        <f>IF(A221="","",ROUNDUP(N(O221)*(Q221/7+Settings!$C$5),0))</f>
        <v/>
      </c>
      <c r="X221" s="25" t="n"/>
      <c r="Y221" s="25" t="n"/>
      <c r="Z221" s="32">
        <f>IF(A221="","",IF(Y221&lt;&gt;"",Y221,MAX(1,ROUNDUP(N(O221)*Settings!$C$7,0))))</f>
        <v/>
      </c>
      <c r="AA221" s="38">
        <f>IF(A221="","",MAX(N(S221),_xlfn.MAXIFS(Log!$A$2:$A$1001,Log!$B$2:$B$1001,A221,Log!$C$2:$C$1001,"Count")))</f>
        <v/>
      </c>
      <c r="AB221" s="39">
        <f>IF(A221="","",Z221*N(L221))</f>
        <v/>
      </c>
      <c r="AC221" s="40">
        <f>IF(A221="","",N(O221)*52*N(L221))</f>
        <v/>
      </c>
      <c r="AD221" s="39">
        <f>IF(A221="","",C221*N(L221))</f>
        <v/>
      </c>
      <c r="AE221" s="41">
        <f>IF(A221="",0,IF(AND(OR(B221="Order now",B221="Critical"),F221=0),1,0))</f>
        <v/>
      </c>
      <c r="AF221" s="41">
        <f>IF(AE221=1,IFERROR(MATCH(H221,Suppliers!$B$5:$B$24,0),99)*1000+ROW(),"")</f>
        <v/>
      </c>
      <c r="AG221" s="41">
        <f>IF(AF221="","",COUNTIF('Stock list'!$AF$2:$AF$301,"&lt;"&amp;AF221)+1)</f>
        <v/>
      </c>
      <c r="AH221" s="41">
        <f>IF(A221="",0,IF(OR(AA221=0,AND(B221="OK",OR(C221&lt;=D221+N(O221)*Settings!$C$6,Settings!$C$10-AA221&gt;Settings!$C$8*7))),1,0))</f>
        <v/>
      </c>
      <c r="AI221" s="41">
        <f>IF(AH221=0,"",IF(AA221=0,"Never counted",IF(C221&lt;=D221+N(O221)*Settings!$C$6,"Near the reorder point","Not counted for "&amp;INT((Settings!$C$10-AA221)/7)&amp;" weeks")))</f>
        <v/>
      </c>
      <c r="AJ221" s="41">
        <f>IF(AH221=1,IFERROR(MATCH(M221,Settings!$G$19:$G$38,0),99)*1000+ROW(),"")</f>
        <v/>
      </c>
      <c r="AK221" s="41">
        <f>IF(AJ221="","",COUNTIF('Stock list'!$AJ$2:$AJ$301,"&lt;"&amp;AJ221)+1)</f>
        <v/>
      </c>
      <c r="AL221" s="41">
        <f>IF(OR(A221="",N(AC221)=0),"",AC221+ROW()/1000000)</f>
        <v/>
      </c>
    </row>
    <row r="222">
      <c r="A222" s="24" t="n"/>
      <c r="B222" s="30">
        <f>IF(A222="","",IF(AA222=0,"No count",IF(AND(N(O222)&gt;0,C222/O222*7&lt;Q222),"Critical",IF(F222&gt;0,"On order",IF(AND(D222&gt;0,C222&lt;=D222),"Order now","OK")))))</f>
        <v/>
      </c>
      <c r="C222" s="31">
        <f>IF(A222="","",MAX(0,IF(_xlfn.MAXIFS(Log!$A$2:$A$1001,Log!$B$2:$B$1001,A222,Log!$C$2:$C$1001,"Count")&gt;N(S222),_xlfn.MAXIFS(Log!$D$2:$D$1001,Log!$B$2:$B$1001,A222,Log!$C$2:$C$1001,"Count",Log!$A$2:$A$1001,AA222),N(R222))+SUMIFS(Log!$D$2:$D$1001,Log!$B$2:$B$1001,A222,Log!$C$2:$C$1001,"Received",Log!$A$2:$A$1001,"&gt;"&amp;AA222)-SUMIFS(Log!$D$2:$D$1001,Log!$B$2:$B$1001,A222,Log!$C$2:$C$1001,"Used",Log!$A$2:$A$1001,"&gt;"&amp;AA222)+SUMIFS(Log!$D$2:$D$1001,Log!$B$2:$B$1001,A222,Log!$C$2:$C$1001,"Adjustment",Log!$A$2:$A$1001,"&gt;"&amp;AA222)))</f>
        <v/>
      </c>
      <c r="D222" s="32">
        <f>IF(A222="","",IF(X222&lt;&gt;"",X222,W222))</f>
        <v/>
      </c>
      <c r="E222" s="33">
        <f>IF(OR(A222="",N(O222)=0),"",C222/O222)</f>
        <v/>
      </c>
      <c r="F222" s="31">
        <f>IF(A222="","",MAX(0,N(T222)-SUMIFS(Log!$D$2:$D$1001,Log!$B$2:$B$1001,A222,Log!$C$2:$C$1001,"Received",Log!$A$2:$A$1001,"&gt;="&amp;N(U222))))</f>
        <v/>
      </c>
      <c r="G222" s="24" t="n"/>
      <c r="H222" s="24" t="n"/>
      <c r="I222" s="24" t="n"/>
      <c r="J222" s="24" t="n"/>
      <c r="K222" s="24" t="n"/>
      <c r="L222" s="34" t="n"/>
      <c r="M222" s="24" t="n"/>
      <c r="N222" s="24" t="n"/>
      <c r="O222" s="35" t="n"/>
      <c r="P222" s="25" t="n"/>
      <c r="Q222" s="36">
        <f>IF(A222="","",IF(P222&lt;&gt;"",P222,IFERROR(IF(N(INDEX(Suppliers!$E$5:$E$24,MATCH(H222,Suppliers!$B$5:$B$24,0)))&gt;0,INDEX(Suppliers!$E$5:$E$24,MATCH(H222,Suppliers!$B$5:$B$24,0)),5),5)))</f>
        <v/>
      </c>
      <c r="R222" s="35" t="n"/>
      <c r="S222" s="37" t="n"/>
      <c r="T222" s="25" t="n"/>
      <c r="U222" s="37" t="n"/>
      <c r="V222" s="37" t="n"/>
      <c r="W222" s="36">
        <f>IF(A222="","",ROUNDUP(N(O222)*(Q222/7+Settings!$C$5),0))</f>
        <v/>
      </c>
      <c r="X222" s="25" t="n"/>
      <c r="Y222" s="25" t="n"/>
      <c r="Z222" s="32">
        <f>IF(A222="","",IF(Y222&lt;&gt;"",Y222,MAX(1,ROUNDUP(N(O222)*Settings!$C$7,0))))</f>
        <v/>
      </c>
      <c r="AA222" s="38">
        <f>IF(A222="","",MAX(N(S222),_xlfn.MAXIFS(Log!$A$2:$A$1001,Log!$B$2:$B$1001,A222,Log!$C$2:$C$1001,"Count")))</f>
        <v/>
      </c>
      <c r="AB222" s="39">
        <f>IF(A222="","",Z222*N(L222))</f>
        <v/>
      </c>
      <c r="AC222" s="40">
        <f>IF(A222="","",N(O222)*52*N(L222))</f>
        <v/>
      </c>
      <c r="AD222" s="39">
        <f>IF(A222="","",C222*N(L222))</f>
        <v/>
      </c>
      <c r="AE222" s="41">
        <f>IF(A222="",0,IF(AND(OR(B222="Order now",B222="Critical"),F222=0),1,0))</f>
        <v/>
      </c>
      <c r="AF222" s="41">
        <f>IF(AE222=1,IFERROR(MATCH(H222,Suppliers!$B$5:$B$24,0),99)*1000+ROW(),"")</f>
        <v/>
      </c>
      <c r="AG222" s="41">
        <f>IF(AF222="","",COUNTIF('Stock list'!$AF$2:$AF$301,"&lt;"&amp;AF222)+1)</f>
        <v/>
      </c>
      <c r="AH222" s="41">
        <f>IF(A222="",0,IF(OR(AA222=0,AND(B222="OK",OR(C222&lt;=D222+N(O222)*Settings!$C$6,Settings!$C$10-AA222&gt;Settings!$C$8*7))),1,0))</f>
        <v/>
      </c>
      <c r="AI222" s="41">
        <f>IF(AH222=0,"",IF(AA222=0,"Never counted",IF(C222&lt;=D222+N(O222)*Settings!$C$6,"Near the reorder point","Not counted for "&amp;INT((Settings!$C$10-AA222)/7)&amp;" weeks")))</f>
        <v/>
      </c>
      <c r="AJ222" s="41">
        <f>IF(AH222=1,IFERROR(MATCH(M222,Settings!$G$19:$G$38,0),99)*1000+ROW(),"")</f>
        <v/>
      </c>
      <c r="AK222" s="41">
        <f>IF(AJ222="","",COUNTIF('Stock list'!$AJ$2:$AJ$301,"&lt;"&amp;AJ222)+1)</f>
        <v/>
      </c>
      <c r="AL222" s="41">
        <f>IF(OR(A222="",N(AC222)=0),"",AC222+ROW()/1000000)</f>
        <v/>
      </c>
    </row>
    <row r="223">
      <c r="A223" s="24" t="n"/>
      <c r="B223" s="30">
        <f>IF(A223="","",IF(AA223=0,"No count",IF(AND(N(O223)&gt;0,C223/O223*7&lt;Q223),"Critical",IF(F223&gt;0,"On order",IF(AND(D223&gt;0,C223&lt;=D223),"Order now","OK")))))</f>
        <v/>
      </c>
      <c r="C223" s="31">
        <f>IF(A223="","",MAX(0,IF(_xlfn.MAXIFS(Log!$A$2:$A$1001,Log!$B$2:$B$1001,A223,Log!$C$2:$C$1001,"Count")&gt;N(S223),_xlfn.MAXIFS(Log!$D$2:$D$1001,Log!$B$2:$B$1001,A223,Log!$C$2:$C$1001,"Count",Log!$A$2:$A$1001,AA223),N(R223))+SUMIFS(Log!$D$2:$D$1001,Log!$B$2:$B$1001,A223,Log!$C$2:$C$1001,"Received",Log!$A$2:$A$1001,"&gt;"&amp;AA223)-SUMIFS(Log!$D$2:$D$1001,Log!$B$2:$B$1001,A223,Log!$C$2:$C$1001,"Used",Log!$A$2:$A$1001,"&gt;"&amp;AA223)+SUMIFS(Log!$D$2:$D$1001,Log!$B$2:$B$1001,A223,Log!$C$2:$C$1001,"Adjustment",Log!$A$2:$A$1001,"&gt;"&amp;AA223)))</f>
        <v/>
      </c>
      <c r="D223" s="32">
        <f>IF(A223="","",IF(X223&lt;&gt;"",X223,W223))</f>
        <v/>
      </c>
      <c r="E223" s="33">
        <f>IF(OR(A223="",N(O223)=0),"",C223/O223)</f>
        <v/>
      </c>
      <c r="F223" s="31">
        <f>IF(A223="","",MAX(0,N(T223)-SUMIFS(Log!$D$2:$D$1001,Log!$B$2:$B$1001,A223,Log!$C$2:$C$1001,"Received",Log!$A$2:$A$1001,"&gt;="&amp;N(U223))))</f>
        <v/>
      </c>
      <c r="G223" s="24" t="n"/>
      <c r="H223" s="24" t="n"/>
      <c r="I223" s="24" t="n"/>
      <c r="J223" s="24" t="n"/>
      <c r="K223" s="24" t="n"/>
      <c r="L223" s="34" t="n"/>
      <c r="M223" s="24" t="n"/>
      <c r="N223" s="24" t="n"/>
      <c r="O223" s="35" t="n"/>
      <c r="P223" s="25" t="n"/>
      <c r="Q223" s="36">
        <f>IF(A223="","",IF(P223&lt;&gt;"",P223,IFERROR(IF(N(INDEX(Suppliers!$E$5:$E$24,MATCH(H223,Suppliers!$B$5:$B$24,0)))&gt;0,INDEX(Suppliers!$E$5:$E$24,MATCH(H223,Suppliers!$B$5:$B$24,0)),5),5)))</f>
        <v/>
      </c>
      <c r="R223" s="35" t="n"/>
      <c r="S223" s="37" t="n"/>
      <c r="T223" s="25" t="n"/>
      <c r="U223" s="37" t="n"/>
      <c r="V223" s="37" t="n"/>
      <c r="W223" s="36">
        <f>IF(A223="","",ROUNDUP(N(O223)*(Q223/7+Settings!$C$5),0))</f>
        <v/>
      </c>
      <c r="X223" s="25" t="n"/>
      <c r="Y223" s="25" t="n"/>
      <c r="Z223" s="32">
        <f>IF(A223="","",IF(Y223&lt;&gt;"",Y223,MAX(1,ROUNDUP(N(O223)*Settings!$C$7,0))))</f>
        <v/>
      </c>
      <c r="AA223" s="38">
        <f>IF(A223="","",MAX(N(S223),_xlfn.MAXIFS(Log!$A$2:$A$1001,Log!$B$2:$B$1001,A223,Log!$C$2:$C$1001,"Count")))</f>
        <v/>
      </c>
      <c r="AB223" s="39">
        <f>IF(A223="","",Z223*N(L223))</f>
        <v/>
      </c>
      <c r="AC223" s="40">
        <f>IF(A223="","",N(O223)*52*N(L223))</f>
        <v/>
      </c>
      <c r="AD223" s="39">
        <f>IF(A223="","",C223*N(L223))</f>
        <v/>
      </c>
      <c r="AE223" s="41">
        <f>IF(A223="",0,IF(AND(OR(B223="Order now",B223="Critical"),F223=0),1,0))</f>
        <v/>
      </c>
      <c r="AF223" s="41">
        <f>IF(AE223=1,IFERROR(MATCH(H223,Suppliers!$B$5:$B$24,0),99)*1000+ROW(),"")</f>
        <v/>
      </c>
      <c r="AG223" s="41">
        <f>IF(AF223="","",COUNTIF('Stock list'!$AF$2:$AF$301,"&lt;"&amp;AF223)+1)</f>
        <v/>
      </c>
      <c r="AH223" s="41">
        <f>IF(A223="",0,IF(OR(AA223=0,AND(B223="OK",OR(C223&lt;=D223+N(O223)*Settings!$C$6,Settings!$C$10-AA223&gt;Settings!$C$8*7))),1,0))</f>
        <v/>
      </c>
      <c r="AI223" s="41">
        <f>IF(AH223=0,"",IF(AA223=0,"Never counted",IF(C223&lt;=D223+N(O223)*Settings!$C$6,"Near the reorder point","Not counted for "&amp;INT((Settings!$C$10-AA223)/7)&amp;" weeks")))</f>
        <v/>
      </c>
      <c r="AJ223" s="41">
        <f>IF(AH223=1,IFERROR(MATCH(M223,Settings!$G$19:$G$38,0),99)*1000+ROW(),"")</f>
        <v/>
      </c>
      <c r="AK223" s="41">
        <f>IF(AJ223="","",COUNTIF('Stock list'!$AJ$2:$AJ$301,"&lt;"&amp;AJ223)+1)</f>
        <v/>
      </c>
      <c r="AL223" s="41">
        <f>IF(OR(A223="",N(AC223)=0),"",AC223+ROW()/1000000)</f>
        <v/>
      </c>
    </row>
    <row r="224">
      <c r="A224" s="24" t="n"/>
      <c r="B224" s="30">
        <f>IF(A224="","",IF(AA224=0,"No count",IF(AND(N(O224)&gt;0,C224/O224*7&lt;Q224),"Critical",IF(F224&gt;0,"On order",IF(AND(D224&gt;0,C224&lt;=D224),"Order now","OK")))))</f>
        <v/>
      </c>
      <c r="C224" s="31">
        <f>IF(A224="","",MAX(0,IF(_xlfn.MAXIFS(Log!$A$2:$A$1001,Log!$B$2:$B$1001,A224,Log!$C$2:$C$1001,"Count")&gt;N(S224),_xlfn.MAXIFS(Log!$D$2:$D$1001,Log!$B$2:$B$1001,A224,Log!$C$2:$C$1001,"Count",Log!$A$2:$A$1001,AA224),N(R224))+SUMIFS(Log!$D$2:$D$1001,Log!$B$2:$B$1001,A224,Log!$C$2:$C$1001,"Received",Log!$A$2:$A$1001,"&gt;"&amp;AA224)-SUMIFS(Log!$D$2:$D$1001,Log!$B$2:$B$1001,A224,Log!$C$2:$C$1001,"Used",Log!$A$2:$A$1001,"&gt;"&amp;AA224)+SUMIFS(Log!$D$2:$D$1001,Log!$B$2:$B$1001,A224,Log!$C$2:$C$1001,"Adjustment",Log!$A$2:$A$1001,"&gt;"&amp;AA224)))</f>
        <v/>
      </c>
      <c r="D224" s="32">
        <f>IF(A224="","",IF(X224&lt;&gt;"",X224,W224))</f>
        <v/>
      </c>
      <c r="E224" s="33">
        <f>IF(OR(A224="",N(O224)=0),"",C224/O224)</f>
        <v/>
      </c>
      <c r="F224" s="31">
        <f>IF(A224="","",MAX(0,N(T224)-SUMIFS(Log!$D$2:$D$1001,Log!$B$2:$B$1001,A224,Log!$C$2:$C$1001,"Received",Log!$A$2:$A$1001,"&gt;="&amp;N(U224))))</f>
        <v/>
      </c>
      <c r="G224" s="24" t="n"/>
      <c r="H224" s="24" t="n"/>
      <c r="I224" s="24" t="n"/>
      <c r="J224" s="24" t="n"/>
      <c r="K224" s="24" t="n"/>
      <c r="L224" s="34" t="n"/>
      <c r="M224" s="24" t="n"/>
      <c r="N224" s="24" t="n"/>
      <c r="O224" s="35" t="n"/>
      <c r="P224" s="25" t="n"/>
      <c r="Q224" s="36">
        <f>IF(A224="","",IF(P224&lt;&gt;"",P224,IFERROR(IF(N(INDEX(Suppliers!$E$5:$E$24,MATCH(H224,Suppliers!$B$5:$B$24,0)))&gt;0,INDEX(Suppliers!$E$5:$E$24,MATCH(H224,Suppliers!$B$5:$B$24,0)),5),5)))</f>
        <v/>
      </c>
      <c r="R224" s="35" t="n"/>
      <c r="S224" s="37" t="n"/>
      <c r="T224" s="25" t="n"/>
      <c r="U224" s="37" t="n"/>
      <c r="V224" s="37" t="n"/>
      <c r="W224" s="36">
        <f>IF(A224="","",ROUNDUP(N(O224)*(Q224/7+Settings!$C$5),0))</f>
        <v/>
      </c>
      <c r="X224" s="25" t="n"/>
      <c r="Y224" s="25" t="n"/>
      <c r="Z224" s="32">
        <f>IF(A224="","",IF(Y224&lt;&gt;"",Y224,MAX(1,ROUNDUP(N(O224)*Settings!$C$7,0))))</f>
        <v/>
      </c>
      <c r="AA224" s="38">
        <f>IF(A224="","",MAX(N(S224),_xlfn.MAXIFS(Log!$A$2:$A$1001,Log!$B$2:$B$1001,A224,Log!$C$2:$C$1001,"Count")))</f>
        <v/>
      </c>
      <c r="AB224" s="39">
        <f>IF(A224="","",Z224*N(L224))</f>
        <v/>
      </c>
      <c r="AC224" s="40">
        <f>IF(A224="","",N(O224)*52*N(L224))</f>
        <v/>
      </c>
      <c r="AD224" s="39">
        <f>IF(A224="","",C224*N(L224))</f>
        <v/>
      </c>
      <c r="AE224" s="41">
        <f>IF(A224="",0,IF(AND(OR(B224="Order now",B224="Critical"),F224=0),1,0))</f>
        <v/>
      </c>
      <c r="AF224" s="41">
        <f>IF(AE224=1,IFERROR(MATCH(H224,Suppliers!$B$5:$B$24,0),99)*1000+ROW(),"")</f>
        <v/>
      </c>
      <c r="AG224" s="41">
        <f>IF(AF224="","",COUNTIF('Stock list'!$AF$2:$AF$301,"&lt;"&amp;AF224)+1)</f>
        <v/>
      </c>
      <c r="AH224" s="41">
        <f>IF(A224="",0,IF(OR(AA224=0,AND(B224="OK",OR(C224&lt;=D224+N(O224)*Settings!$C$6,Settings!$C$10-AA224&gt;Settings!$C$8*7))),1,0))</f>
        <v/>
      </c>
      <c r="AI224" s="41">
        <f>IF(AH224=0,"",IF(AA224=0,"Never counted",IF(C224&lt;=D224+N(O224)*Settings!$C$6,"Near the reorder point","Not counted for "&amp;INT((Settings!$C$10-AA224)/7)&amp;" weeks")))</f>
        <v/>
      </c>
      <c r="AJ224" s="41">
        <f>IF(AH224=1,IFERROR(MATCH(M224,Settings!$G$19:$G$38,0),99)*1000+ROW(),"")</f>
        <v/>
      </c>
      <c r="AK224" s="41">
        <f>IF(AJ224="","",COUNTIF('Stock list'!$AJ$2:$AJ$301,"&lt;"&amp;AJ224)+1)</f>
        <v/>
      </c>
      <c r="AL224" s="41">
        <f>IF(OR(A224="",N(AC224)=0),"",AC224+ROW()/1000000)</f>
        <v/>
      </c>
    </row>
    <row r="225">
      <c r="A225" s="24" t="n"/>
      <c r="B225" s="30">
        <f>IF(A225="","",IF(AA225=0,"No count",IF(AND(N(O225)&gt;0,C225/O225*7&lt;Q225),"Critical",IF(F225&gt;0,"On order",IF(AND(D225&gt;0,C225&lt;=D225),"Order now","OK")))))</f>
        <v/>
      </c>
      <c r="C225" s="31">
        <f>IF(A225="","",MAX(0,IF(_xlfn.MAXIFS(Log!$A$2:$A$1001,Log!$B$2:$B$1001,A225,Log!$C$2:$C$1001,"Count")&gt;N(S225),_xlfn.MAXIFS(Log!$D$2:$D$1001,Log!$B$2:$B$1001,A225,Log!$C$2:$C$1001,"Count",Log!$A$2:$A$1001,AA225),N(R225))+SUMIFS(Log!$D$2:$D$1001,Log!$B$2:$B$1001,A225,Log!$C$2:$C$1001,"Received",Log!$A$2:$A$1001,"&gt;"&amp;AA225)-SUMIFS(Log!$D$2:$D$1001,Log!$B$2:$B$1001,A225,Log!$C$2:$C$1001,"Used",Log!$A$2:$A$1001,"&gt;"&amp;AA225)+SUMIFS(Log!$D$2:$D$1001,Log!$B$2:$B$1001,A225,Log!$C$2:$C$1001,"Adjustment",Log!$A$2:$A$1001,"&gt;"&amp;AA225)))</f>
        <v/>
      </c>
      <c r="D225" s="32">
        <f>IF(A225="","",IF(X225&lt;&gt;"",X225,W225))</f>
        <v/>
      </c>
      <c r="E225" s="33">
        <f>IF(OR(A225="",N(O225)=0),"",C225/O225)</f>
        <v/>
      </c>
      <c r="F225" s="31">
        <f>IF(A225="","",MAX(0,N(T225)-SUMIFS(Log!$D$2:$D$1001,Log!$B$2:$B$1001,A225,Log!$C$2:$C$1001,"Received",Log!$A$2:$A$1001,"&gt;="&amp;N(U225))))</f>
        <v/>
      </c>
      <c r="G225" s="24" t="n"/>
      <c r="H225" s="24" t="n"/>
      <c r="I225" s="24" t="n"/>
      <c r="J225" s="24" t="n"/>
      <c r="K225" s="24" t="n"/>
      <c r="L225" s="34" t="n"/>
      <c r="M225" s="24" t="n"/>
      <c r="N225" s="24" t="n"/>
      <c r="O225" s="35" t="n"/>
      <c r="P225" s="25" t="n"/>
      <c r="Q225" s="36">
        <f>IF(A225="","",IF(P225&lt;&gt;"",P225,IFERROR(IF(N(INDEX(Suppliers!$E$5:$E$24,MATCH(H225,Suppliers!$B$5:$B$24,0)))&gt;0,INDEX(Suppliers!$E$5:$E$24,MATCH(H225,Suppliers!$B$5:$B$24,0)),5),5)))</f>
        <v/>
      </c>
      <c r="R225" s="35" t="n"/>
      <c r="S225" s="37" t="n"/>
      <c r="T225" s="25" t="n"/>
      <c r="U225" s="37" t="n"/>
      <c r="V225" s="37" t="n"/>
      <c r="W225" s="36">
        <f>IF(A225="","",ROUNDUP(N(O225)*(Q225/7+Settings!$C$5),0))</f>
        <v/>
      </c>
      <c r="X225" s="25" t="n"/>
      <c r="Y225" s="25" t="n"/>
      <c r="Z225" s="32">
        <f>IF(A225="","",IF(Y225&lt;&gt;"",Y225,MAX(1,ROUNDUP(N(O225)*Settings!$C$7,0))))</f>
        <v/>
      </c>
      <c r="AA225" s="38">
        <f>IF(A225="","",MAX(N(S225),_xlfn.MAXIFS(Log!$A$2:$A$1001,Log!$B$2:$B$1001,A225,Log!$C$2:$C$1001,"Count")))</f>
        <v/>
      </c>
      <c r="AB225" s="39">
        <f>IF(A225="","",Z225*N(L225))</f>
        <v/>
      </c>
      <c r="AC225" s="40">
        <f>IF(A225="","",N(O225)*52*N(L225))</f>
        <v/>
      </c>
      <c r="AD225" s="39">
        <f>IF(A225="","",C225*N(L225))</f>
        <v/>
      </c>
      <c r="AE225" s="41">
        <f>IF(A225="",0,IF(AND(OR(B225="Order now",B225="Critical"),F225=0),1,0))</f>
        <v/>
      </c>
      <c r="AF225" s="41">
        <f>IF(AE225=1,IFERROR(MATCH(H225,Suppliers!$B$5:$B$24,0),99)*1000+ROW(),"")</f>
        <v/>
      </c>
      <c r="AG225" s="41">
        <f>IF(AF225="","",COUNTIF('Stock list'!$AF$2:$AF$301,"&lt;"&amp;AF225)+1)</f>
        <v/>
      </c>
      <c r="AH225" s="41">
        <f>IF(A225="",0,IF(OR(AA225=0,AND(B225="OK",OR(C225&lt;=D225+N(O225)*Settings!$C$6,Settings!$C$10-AA225&gt;Settings!$C$8*7))),1,0))</f>
        <v/>
      </c>
      <c r="AI225" s="41">
        <f>IF(AH225=0,"",IF(AA225=0,"Never counted",IF(C225&lt;=D225+N(O225)*Settings!$C$6,"Near the reorder point","Not counted for "&amp;INT((Settings!$C$10-AA225)/7)&amp;" weeks")))</f>
        <v/>
      </c>
      <c r="AJ225" s="41">
        <f>IF(AH225=1,IFERROR(MATCH(M225,Settings!$G$19:$G$38,0),99)*1000+ROW(),"")</f>
        <v/>
      </c>
      <c r="AK225" s="41">
        <f>IF(AJ225="","",COUNTIF('Stock list'!$AJ$2:$AJ$301,"&lt;"&amp;AJ225)+1)</f>
        <v/>
      </c>
      <c r="AL225" s="41">
        <f>IF(OR(A225="",N(AC225)=0),"",AC225+ROW()/1000000)</f>
        <v/>
      </c>
    </row>
    <row r="226">
      <c r="A226" s="24" t="n"/>
      <c r="B226" s="30">
        <f>IF(A226="","",IF(AA226=0,"No count",IF(AND(N(O226)&gt;0,C226/O226*7&lt;Q226),"Critical",IF(F226&gt;0,"On order",IF(AND(D226&gt;0,C226&lt;=D226),"Order now","OK")))))</f>
        <v/>
      </c>
      <c r="C226" s="31">
        <f>IF(A226="","",MAX(0,IF(_xlfn.MAXIFS(Log!$A$2:$A$1001,Log!$B$2:$B$1001,A226,Log!$C$2:$C$1001,"Count")&gt;N(S226),_xlfn.MAXIFS(Log!$D$2:$D$1001,Log!$B$2:$B$1001,A226,Log!$C$2:$C$1001,"Count",Log!$A$2:$A$1001,AA226),N(R226))+SUMIFS(Log!$D$2:$D$1001,Log!$B$2:$B$1001,A226,Log!$C$2:$C$1001,"Received",Log!$A$2:$A$1001,"&gt;"&amp;AA226)-SUMIFS(Log!$D$2:$D$1001,Log!$B$2:$B$1001,A226,Log!$C$2:$C$1001,"Used",Log!$A$2:$A$1001,"&gt;"&amp;AA226)+SUMIFS(Log!$D$2:$D$1001,Log!$B$2:$B$1001,A226,Log!$C$2:$C$1001,"Adjustment",Log!$A$2:$A$1001,"&gt;"&amp;AA226)))</f>
        <v/>
      </c>
      <c r="D226" s="32">
        <f>IF(A226="","",IF(X226&lt;&gt;"",X226,W226))</f>
        <v/>
      </c>
      <c r="E226" s="33">
        <f>IF(OR(A226="",N(O226)=0),"",C226/O226)</f>
        <v/>
      </c>
      <c r="F226" s="31">
        <f>IF(A226="","",MAX(0,N(T226)-SUMIFS(Log!$D$2:$D$1001,Log!$B$2:$B$1001,A226,Log!$C$2:$C$1001,"Received",Log!$A$2:$A$1001,"&gt;="&amp;N(U226))))</f>
        <v/>
      </c>
      <c r="G226" s="24" t="n"/>
      <c r="H226" s="24" t="n"/>
      <c r="I226" s="24" t="n"/>
      <c r="J226" s="24" t="n"/>
      <c r="K226" s="24" t="n"/>
      <c r="L226" s="34" t="n"/>
      <c r="M226" s="24" t="n"/>
      <c r="N226" s="24" t="n"/>
      <c r="O226" s="35" t="n"/>
      <c r="P226" s="25" t="n"/>
      <c r="Q226" s="36">
        <f>IF(A226="","",IF(P226&lt;&gt;"",P226,IFERROR(IF(N(INDEX(Suppliers!$E$5:$E$24,MATCH(H226,Suppliers!$B$5:$B$24,0)))&gt;0,INDEX(Suppliers!$E$5:$E$24,MATCH(H226,Suppliers!$B$5:$B$24,0)),5),5)))</f>
        <v/>
      </c>
      <c r="R226" s="35" t="n"/>
      <c r="S226" s="37" t="n"/>
      <c r="T226" s="25" t="n"/>
      <c r="U226" s="37" t="n"/>
      <c r="V226" s="37" t="n"/>
      <c r="W226" s="36">
        <f>IF(A226="","",ROUNDUP(N(O226)*(Q226/7+Settings!$C$5),0))</f>
        <v/>
      </c>
      <c r="X226" s="25" t="n"/>
      <c r="Y226" s="25" t="n"/>
      <c r="Z226" s="32">
        <f>IF(A226="","",IF(Y226&lt;&gt;"",Y226,MAX(1,ROUNDUP(N(O226)*Settings!$C$7,0))))</f>
        <v/>
      </c>
      <c r="AA226" s="38">
        <f>IF(A226="","",MAX(N(S226),_xlfn.MAXIFS(Log!$A$2:$A$1001,Log!$B$2:$B$1001,A226,Log!$C$2:$C$1001,"Count")))</f>
        <v/>
      </c>
      <c r="AB226" s="39">
        <f>IF(A226="","",Z226*N(L226))</f>
        <v/>
      </c>
      <c r="AC226" s="40">
        <f>IF(A226="","",N(O226)*52*N(L226))</f>
        <v/>
      </c>
      <c r="AD226" s="39">
        <f>IF(A226="","",C226*N(L226))</f>
        <v/>
      </c>
      <c r="AE226" s="41">
        <f>IF(A226="",0,IF(AND(OR(B226="Order now",B226="Critical"),F226=0),1,0))</f>
        <v/>
      </c>
      <c r="AF226" s="41">
        <f>IF(AE226=1,IFERROR(MATCH(H226,Suppliers!$B$5:$B$24,0),99)*1000+ROW(),"")</f>
        <v/>
      </c>
      <c r="AG226" s="41">
        <f>IF(AF226="","",COUNTIF('Stock list'!$AF$2:$AF$301,"&lt;"&amp;AF226)+1)</f>
        <v/>
      </c>
      <c r="AH226" s="41">
        <f>IF(A226="",0,IF(OR(AA226=0,AND(B226="OK",OR(C226&lt;=D226+N(O226)*Settings!$C$6,Settings!$C$10-AA226&gt;Settings!$C$8*7))),1,0))</f>
        <v/>
      </c>
      <c r="AI226" s="41">
        <f>IF(AH226=0,"",IF(AA226=0,"Never counted",IF(C226&lt;=D226+N(O226)*Settings!$C$6,"Near the reorder point","Not counted for "&amp;INT((Settings!$C$10-AA226)/7)&amp;" weeks")))</f>
        <v/>
      </c>
      <c r="AJ226" s="41">
        <f>IF(AH226=1,IFERROR(MATCH(M226,Settings!$G$19:$G$38,0),99)*1000+ROW(),"")</f>
        <v/>
      </c>
      <c r="AK226" s="41">
        <f>IF(AJ226="","",COUNTIF('Stock list'!$AJ$2:$AJ$301,"&lt;"&amp;AJ226)+1)</f>
        <v/>
      </c>
      <c r="AL226" s="41">
        <f>IF(OR(A226="",N(AC226)=0),"",AC226+ROW()/1000000)</f>
        <v/>
      </c>
    </row>
    <row r="227">
      <c r="A227" s="24" t="n"/>
      <c r="B227" s="30">
        <f>IF(A227="","",IF(AA227=0,"No count",IF(AND(N(O227)&gt;0,C227/O227*7&lt;Q227),"Critical",IF(F227&gt;0,"On order",IF(AND(D227&gt;0,C227&lt;=D227),"Order now","OK")))))</f>
        <v/>
      </c>
      <c r="C227" s="31">
        <f>IF(A227="","",MAX(0,IF(_xlfn.MAXIFS(Log!$A$2:$A$1001,Log!$B$2:$B$1001,A227,Log!$C$2:$C$1001,"Count")&gt;N(S227),_xlfn.MAXIFS(Log!$D$2:$D$1001,Log!$B$2:$B$1001,A227,Log!$C$2:$C$1001,"Count",Log!$A$2:$A$1001,AA227),N(R227))+SUMIFS(Log!$D$2:$D$1001,Log!$B$2:$B$1001,A227,Log!$C$2:$C$1001,"Received",Log!$A$2:$A$1001,"&gt;"&amp;AA227)-SUMIFS(Log!$D$2:$D$1001,Log!$B$2:$B$1001,A227,Log!$C$2:$C$1001,"Used",Log!$A$2:$A$1001,"&gt;"&amp;AA227)+SUMIFS(Log!$D$2:$D$1001,Log!$B$2:$B$1001,A227,Log!$C$2:$C$1001,"Adjustment",Log!$A$2:$A$1001,"&gt;"&amp;AA227)))</f>
        <v/>
      </c>
      <c r="D227" s="32">
        <f>IF(A227="","",IF(X227&lt;&gt;"",X227,W227))</f>
        <v/>
      </c>
      <c r="E227" s="33">
        <f>IF(OR(A227="",N(O227)=0),"",C227/O227)</f>
        <v/>
      </c>
      <c r="F227" s="31">
        <f>IF(A227="","",MAX(0,N(T227)-SUMIFS(Log!$D$2:$D$1001,Log!$B$2:$B$1001,A227,Log!$C$2:$C$1001,"Received",Log!$A$2:$A$1001,"&gt;="&amp;N(U227))))</f>
        <v/>
      </c>
      <c r="G227" s="24" t="n"/>
      <c r="H227" s="24" t="n"/>
      <c r="I227" s="24" t="n"/>
      <c r="J227" s="24" t="n"/>
      <c r="K227" s="24" t="n"/>
      <c r="L227" s="34" t="n"/>
      <c r="M227" s="24" t="n"/>
      <c r="N227" s="24" t="n"/>
      <c r="O227" s="35" t="n"/>
      <c r="P227" s="25" t="n"/>
      <c r="Q227" s="36">
        <f>IF(A227="","",IF(P227&lt;&gt;"",P227,IFERROR(IF(N(INDEX(Suppliers!$E$5:$E$24,MATCH(H227,Suppliers!$B$5:$B$24,0)))&gt;0,INDEX(Suppliers!$E$5:$E$24,MATCH(H227,Suppliers!$B$5:$B$24,0)),5),5)))</f>
        <v/>
      </c>
      <c r="R227" s="35" t="n"/>
      <c r="S227" s="37" t="n"/>
      <c r="T227" s="25" t="n"/>
      <c r="U227" s="37" t="n"/>
      <c r="V227" s="37" t="n"/>
      <c r="W227" s="36">
        <f>IF(A227="","",ROUNDUP(N(O227)*(Q227/7+Settings!$C$5),0))</f>
        <v/>
      </c>
      <c r="X227" s="25" t="n"/>
      <c r="Y227" s="25" t="n"/>
      <c r="Z227" s="32">
        <f>IF(A227="","",IF(Y227&lt;&gt;"",Y227,MAX(1,ROUNDUP(N(O227)*Settings!$C$7,0))))</f>
        <v/>
      </c>
      <c r="AA227" s="38">
        <f>IF(A227="","",MAX(N(S227),_xlfn.MAXIFS(Log!$A$2:$A$1001,Log!$B$2:$B$1001,A227,Log!$C$2:$C$1001,"Count")))</f>
        <v/>
      </c>
      <c r="AB227" s="39">
        <f>IF(A227="","",Z227*N(L227))</f>
        <v/>
      </c>
      <c r="AC227" s="40">
        <f>IF(A227="","",N(O227)*52*N(L227))</f>
        <v/>
      </c>
      <c r="AD227" s="39">
        <f>IF(A227="","",C227*N(L227))</f>
        <v/>
      </c>
      <c r="AE227" s="41">
        <f>IF(A227="",0,IF(AND(OR(B227="Order now",B227="Critical"),F227=0),1,0))</f>
        <v/>
      </c>
      <c r="AF227" s="41">
        <f>IF(AE227=1,IFERROR(MATCH(H227,Suppliers!$B$5:$B$24,0),99)*1000+ROW(),"")</f>
        <v/>
      </c>
      <c r="AG227" s="41">
        <f>IF(AF227="","",COUNTIF('Stock list'!$AF$2:$AF$301,"&lt;"&amp;AF227)+1)</f>
        <v/>
      </c>
      <c r="AH227" s="41">
        <f>IF(A227="",0,IF(OR(AA227=0,AND(B227="OK",OR(C227&lt;=D227+N(O227)*Settings!$C$6,Settings!$C$10-AA227&gt;Settings!$C$8*7))),1,0))</f>
        <v/>
      </c>
      <c r="AI227" s="41">
        <f>IF(AH227=0,"",IF(AA227=0,"Never counted",IF(C227&lt;=D227+N(O227)*Settings!$C$6,"Near the reorder point","Not counted for "&amp;INT((Settings!$C$10-AA227)/7)&amp;" weeks")))</f>
        <v/>
      </c>
      <c r="AJ227" s="41">
        <f>IF(AH227=1,IFERROR(MATCH(M227,Settings!$G$19:$G$38,0),99)*1000+ROW(),"")</f>
        <v/>
      </c>
      <c r="AK227" s="41">
        <f>IF(AJ227="","",COUNTIF('Stock list'!$AJ$2:$AJ$301,"&lt;"&amp;AJ227)+1)</f>
        <v/>
      </c>
      <c r="AL227" s="41">
        <f>IF(OR(A227="",N(AC227)=0),"",AC227+ROW()/1000000)</f>
        <v/>
      </c>
    </row>
    <row r="228">
      <c r="A228" s="24" t="n"/>
      <c r="B228" s="30">
        <f>IF(A228="","",IF(AA228=0,"No count",IF(AND(N(O228)&gt;0,C228/O228*7&lt;Q228),"Critical",IF(F228&gt;0,"On order",IF(AND(D228&gt;0,C228&lt;=D228),"Order now","OK")))))</f>
        <v/>
      </c>
      <c r="C228" s="31">
        <f>IF(A228="","",MAX(0,IF(_xlfn.MAXIFS(Log!$A$2:$A$1001,Log!$B$2:$B$1001,A228,Log!$C$2:$C$1001,"Count")&gt;N(S228),_xlfn.MAXIFS(Log!$D$2:$D$1001,Log!$B$2:$B$1001,A228,Log!$C$2:$C$1001,"Count",Log!$A$2:$A$1001,AA228),N(R228))+SUMIFS(Log!$D$2:$D$1001,Log!$B$2:$B$1001,A228,Log!$C$2:$C$1001,"Received",Log!$A$2:$A$1001,"&gt;"&amp;AA228)-SUMIFS(Log!$D$2:$D$1001,Log!$B$2:$B$1001,A228,Log!$C$2:$C$1001,"Used",Log!$A$2:$A$1001,"&gt;"&amp;AA228)+SUMIFS(Log!$D$2:$D$1001,Log!$B$2:$B$1001,A228,Log!$C$2:$C$1001,"Adjustment",Log!$A$2:$A$1001,"&gt;"&amp;AA228)))</f>
        <v/>
      </c>
      <c r="D228" s="32">
        <f>IF(A228="","",IF(X228&lt;&gt;"",X228,W228))</f>
        <v/>
      </c>
      <c r="E228" s="33">
        <f>IF(OR(A228="",N(O228)=0),"",C228/O228)</f>
        <v/>
      </c>
      <c r="F228" s="31">
        <f>IF(A228="","",MAX(0,N(T228)-SUMIFS(Log!$D$2:$D$1001,Log!$B$2:$B$1001,A228,Log!$C$2:$C$1001,"Received",Log!$A$2:$A$1001,"&gt;="&amp;N(U228))))</f>
        <v/>
      </c>
      <c r="G228" s="24" t="n"/>
      <c r="H228" s="24" t="n"/>
      <c r="I228" s="24" t="n"/>
      <c r="J228" s="24" t="n"/>
      <c r="K228" s="24" t="n"/>
      <c r="L228" s="34" t="n"/>
      <c r="M228" s="24" t="n"/>
      <c r="N228" s="24" t="n"/>
      <c r="O228" s="35" t="n"/>
      <c r="P228" s="25" t="n"/>
      <c r="Q228" s="36">
        <f>IF(A228="","",IF(P228&lt;&gt;"",P228,IFERROR(IF(N(INDEX(Suppliers!$E$5:$E$24,MATCH(H228,Suppliers!$B$5:$B$24,0)))&gt;0,INDEX(Suppliers!$E$5:$E$24,MATCH(H228,Suppliers!$B$5:$B$24,0)),5),5)))</f>
        <v/>
      </c>
      <c r="R228" s="35" t="n"/>
      <c r="S228" s="37" t="n"/>
      <c r="T228" s="25" t="n"/>
      <c r="U228" s="37" t="n"/>
      <c r="V228" s="37" t="n"/>
      <c r="W228" s="36">
        <f>IF(A228="","",ROUNDUP(N(O228)*(Q228/7+Settings!$C$5),0))</f>
        <v/>
      </c>
      <c r="X228" s="25" t="n"/>
      <c r="Y228" s="25" t="n"/>
      <c r="Z228" s="32">
        <f>IF(A228="","",IF(Y228&lt;&gt;"",Y228,MAX(1,ROUNDUP(N(O228)*Settings!$C$7,0))))</f>
        <v/>
      </c>
      <c r="AA228" s="38">
        <f>IF(A228="","",MAX(N(S228),_xlfn.MAXIFS(Log!$A$2:$A$1001,Log!$B$2:$B$1001,A228,Log!$C$2:$C$1001,"Count")))</f>
        <v/>
      </c>
      <c r="AB228" s="39">
        <f>IF(A228="","",Z228*N(L228))</f>
        <v/>
      </c>
      <c r="AC228" s="40">
        <f>IF(A228="","",N(O228)*52*N(L228))</f>
        <v/>
      </c>
      <c r="AD228" s="39">
        <f>IF(A228="","",C228*N(L228))</f>
        <v/>
      </c>
      <c r="AE228" s="41">
        <f>IF(A228="",0,IF(AND(OR(B228="Order now",B228="Critical"),F228=0),1,0))</f>
        <v/>
      </c>
      <c r="AF228" s="41">
        <f>IF(AE228=1,IFERROR(MATCH(H228,Suppliers!$B$5:$B$24,0),99)*1000+ROW(),"")</f>
        <v/>
      </c>
      <c r="AG228" s="41">
        <f>IF(AF228="","",COUNTIF('Stock list'!$AF$2:$AF$301,"&lt;"&amp;AF228)+1)</f>
        <v/>
      </c>
      <c r="AH228" s="41">
        <f>IF(A228="",0,IF(OR(AA228=0,AND(B228="OK",OR(C228&lt;=D228+N(O228)*Settings!$C$6,Settings!$C$10-AA228&gt;Settings!$C$8*7))),1,0))</f>
        <v/>
      </c>
      <c r="AI228" s="41">
        <f>IF(AH228=0,"",IF(AA228=0,"Never counted",IF(C228&lt;=D228+N(O228)*Settings!$C$6,"Near the reorder point","Not counted for "&amp;INT((Settings!$C$10-AA228)/7)&amp;" weeks")))</f>
        <v/>
      </c>
      <c r="AJ228" s="41">
        <f>IF(AH228=1,IFERROR(MATCH(M228,Settings!$G$19:$G$38,0),99)*1000+ROW(),"")</f>
        <v/>
      </c>
      <c r="AK228" s="41">
        <f>IF(AJ228="","",COUNTIF('Stock list'!$AJ$2:$AJ$301,"&lt;"&amp;AJ228)+1)</f>
        <v/>
      </c>
      <c r="AL228" s="41">
        <f>IF(OR(A228="",N(AC228)=0),"",AC228+ROW()/1000000)</f>
        <v/>
      </c>
    </row>
    <row r="229">
      <c r="A229" s="24" t="n"/>
      <c r="B229" s="30">
        <f>IF(A229="","",IF(AA229=0,"No count",IF(AND(N(O229)&gt;0,C229/O229*7&lt;Q229),"Critical",IF(F229&gt;0,"On order",IF(AND(D229&gt;0,C229&lt;=D229),"Order now","OK")))))</f>
        <v/>
      </c>
      <c r="C229" s="31">
        <f>IF(A229="","",MAX(0,IF(_xlfn.MAXIFS(Log!$A$2:$A$1001,Log!$B$2:$B$1001,A229,Log!$C$2:$C$1001,"Count")&gt;N(S229),_xlfn.MAXIFS(Log!$D$2:$D$1001,Log!$B$2:$B$1001,A229,Log!$C$2:$C$1001,"Count",Log!$A$2:$A$1001,AA229),N(R229))+SUMIFS(Log!$D$2:$D$1001,Log!$B$2:$B$1001,A229,Log!$C$2:$C$1001,"Received",Log!$A$2:$A$1001,"&gt;"&amp;AA229)-SUMIFS(Log!$D$2:$D$1001,Log!$B$2:$B$1001,A229,Log!$C$2:$C$1001,"Used",Log!$A$2:$A$1001,"&gt;"&amp;AA229)+SUMIFS(Log!$D$2:$D$1001,Log!$B$2:$B$1001,A229,Log!$C$2:$C$1001,"Adjustment",Log!$A$2:$A$1001,"&gt;"&amp;AA229)))</f>
        <v/>
      </c>
      <c r="D229" s="32">
        <f>IF(A229="","",IF(X229&lt;&gt;"",X229,W229))</f>
        <v/>
      </c>
      <c r="E229" s="33">
        <f>IF(OR(A229="",N(O229)=0),"",C229/O229)</f>
        <v/>
      </c>
      <c r="F229" s="31">
        <f>IF(A229="","",MAX(0,N(T229)-SUMIFS(Log!$D$2:$D$1001,Log!$B$2:$B$1001,A229,Log!$C$2:$C$1001,"Received",Log!$A$2:$A$1001,"&gt;="&amp;N(U229))))</f>
        <v/>
      </c>
      <c r="G229" s="24" t="n"/>
      <c r="H229" s="24" t="n"/>
      <c r="I229" s="24" t="n"/>
      <c r="J229" s="24" t="n"/>
      <c r="K229" s="24" t="n"/>
      <c r="L229" s="34" t="n"/>
      <c r="M229" s="24" t="n"/>
      <c r="N229" s="24" t="n"/>
      <c r="O229" s="35" t="n"/>
      <c r="P229" s="25" t="n"/>
      <c r="Q229" s="36">
        <f>IF(A229="","",IF(P229&lt;&gt;"",P229,IFERROR(IF(N(INDEX(Suppliers!$E$5:$E$24,MATCH(H229,Suppliers!$B$5:$B$24,0)))&gt;0,INDEX(Suppliers!$E$5:$E$24,MATCH(H229,Suppliers!$B$5:$B$24,0)),5),5)))</f>
        <v/>
      </c>
      <c r="R229" s="35" t="n"/>
      <c r="S229" s="37" t="n"/>
      <c r="T229" s="25" t="n"/>
      <c r="U229" s="37" t="n"/>
      <c r="V229" s="37" t="n"/>
      <c r="W229" s="36">
        <f>IF(A229="","",ROUNDUP(N(O229)*(Q229/7+Settings!$C$5),0))</f>
        <v/>
      </c>
      <c r="X229" s="25" t="n"/>
      <c r="Y229" s="25" t="n"/>
      <c r="Z229" s="32">
        <f>IF(A229="","",IF(Y229&lt;&gt;"",Y229,MAX(1,ROUNDUP(N(O229)*Settings!$C$7,0))))</f>
        <v/>
      </c>
      <c r="AA229" s="38">
        <f>IF(A229="","",MAX(N(S229),_xlfn.MAXIFS(Log!$A$2:$A$1001,Log!$B$2:$B$1001,A229,Log!$C$2:$C$1001,"Count")))</f>
        <v/>
      </c>
      <c r="AB229" s="39">
        <f>IF(A229="","",Z229*N(L229))</f>
        <v/>
      </c>
      <c r="AC229" s="40">
        <f>IF(A229="","",N(O229)*52*N(L229))</f>
        <v/>
      </c>
      <c r="AD229" s="39">
        <f>IF(A229="","",C229*N(L229))</f>
        <v/>
      </c>
      <c r="AE229" s="41">
        <f>IF(A229="",0,IF(AND(OR(B229="Order now",B229="Critical"),F229=0),1,0))</f>
        <v/>
      </c>
      <c r="AF229" s="41">
        <f>IF(AE229=1,IFERROR(MATCH(H229,Suppliers!$B$5:$B$24,0),99)*1000+ROW(),"")</f>
        <v/>
      </c>
      <c r="AG229" s="41">
        <f>IF(AF229="","",COUNTIF('Stock list'!$AF$2:$AF$301,"&lt;"&amp;AF229)+1)</f>
        <v/>
      </c>
      <c r="AH229" s="41">
        <f>IF(A229="",0,IF(OR(AA229=0,AND(B229="OK",OR(C229&lt;=D229+N(O229)*Settings!$C$6,Settings!$C$10-AA229&gt;Settings!$C$8*7))),1,0))</f>
        <v/>
      </c>
      <c r="AI229" s="41">
        <f>IF(AH229=0,"",IF(AA229=0,"Never counted",IF(C229&lt;=D229+N(O229)*Settings!$C$6,"Near the reorder point","Not counted for "&amp;INT((Settings!$C$10-AA229)/7)&amp;" weeks")))</f>
        <v/>
      </c>
      <c r="AJ229" s="41">
        <f>IF(AH229=1,IFERROR(MATCH(M229,Settings!$G$19:$G$38,0),99)*1000+ROW(),"")</f>
        <v/>
      </c>
      <c r="AK229" s="41">
        <f>IF(AJ229="","",COUNTIF('Stock list'!$AJ$2:$AJ$301,"&lt;"&amp;AJ229)+1)</f>
        <v/>
      </c>
      <c r="AL229" s="41">
        <f>IF(OR(A229="",N(AC229)=0),"",AC229+ROW()/1000000)</f>
        <v/>
      </c>
    </row>
    <row r="230">
      <c r="A230" s="24" t="n"/>
      <c r="B230" s="30">
        <f>IF(A230="","",IF(AA230=0,"No count",IF(AND(N(O230)&gt;0,C230/O230*7&lt;Q230),"Critical",IF(F230&gt;0,"On order",IF(AND(D230&gt;0,C230&lt;=D230),"Order now","OK")))))</f>
        <v/>
      </c>
      <c r="C230" s="31">
        <f>IF(A230="","",MAX(0,IF(_xlfn.MAXIFS(Log!$A$2:$A$1001,Log!$B$2:$B$1001,A230,Log!$C$2:$C$1001,"Count")&gt;N(S230),_xlfn.MAXIFS(Log!$D$2:$D$1001,Log!$B$2:$B$1001,A230,Log!$C$2:$C$1001,"Count",Log!$A$2:$A$1001,AA230),N(R230))+SUMIFS(Log!$D$2:$D$1001,Log!$B$2:$B$1001,A230,Log!$C$2:$C$1001,"Received",Log!$A$2:$A$1001,"&gt;"&amp;AA230)-SUMIFS(Log!$D$2:$D$1001,Log!$B$2:$B$1001,A230,Log!$C$2:$C$1001,"Used",Log!$A$2:$A$1001,"&gt;"&amp;AA230)+SUMIFS(Log!$D$2:$D$1001,Log!$B$2:$B$1001,A230,Log!$C$2:$C$1001,"Adjustment",Log!$A$2:$A$1001,"&gt;"&amp;AA230)))</f>
        <v/>
      </c>
      <c r="D230" s="32">
        <f>IF(A230="","",IF(X230&lt;&gt;"",X230,W230))</f>
        <v/>
      </c>
      <c r="E230" s="33">
        <f>IF(OR(A230="",N(O230)=0),"",C230/O230)</f>
        <v/>
      </c>
      <c r="F230" s="31">
        <f>IF(A230="","",MAX(0,N(T230)-SUMIFS(Log!$D$2:$D$1001,Log!$B$2:$B$1001,A230,Log!$C$2:$C$1001,"Received",Log!$A$2:$A$1001,"&gt;="&amp;N(U230))))</f>
        <v/>
      </c>
      <c r="G230" s="24" t="n"/>
      <c r="H230" s="24" t="n"/>
      <c r="I230" s="24" t="n"/>
      <c r="J230" s="24" t="n"/>
      <c r="K230" s="24" t="n"/>
      <c r="L230" s="34" t="n"/>
      <c r="M230" s="24" t="n"/>
      <c r="N230" s="24" t="n"/>
      <c r="O230" s="35" t="n"/>
      <c r="P230" s="25" t="n"/>
      <c r="Q230" s="36">
        <f>IF(A230="","",IF(P230&lt;&gt;"",P230,IFERROR(IF(N(INDEX(Suppliers!$E$5:$E$24,MATCH(H230,Suppliers!$B$5:$B$24,0)))&gt;0,INDEX(Suppliers!$E$5:$E$24,MATCH(H230,Suppliers!$B$5:$B$24,0)),5),5)))</f>
        <v/>
      </c>
      <c r="R230" s="35" t="n"/>
      <c r="S230" s="37" t="n"/>
      <c r="T230" s="25" t="n"/>
      <c r="U230" s="37" t="n"/>
      <c r="V230" s="37" t="n"/>
      <c r="W230" s="36">
        <f>IF(A230="","",ROUNDUP(N(O230)*(Q230/7+Settings!$C$5),0))</f>
        <v/>
      </c>
      <c r="X230" s="25" t="n"/>
      <c r="Y230" s="25" t="n"/>
      <c r="Z230" s="32">
        <f>IF(A230="","",IF(Y230&lt;&gt;"",Y230,MAX(1,ROUNDUP(N(O230)*Settings!$C$7,0))))</f>
        <v/>
      </c>
      <c r="AA230" s="38">
        <f>IF(A230="","",MAX(N(S230),_xlfn.MAXIFS(Log!$A$2:$A$1001,Log!$B$2:$B$1001,A230,Log!$C$2:$C$1001,"Count")))</f>
        <v/>
      </c>
      <c r="AB230" s="39">
        <f>IF(A230="","",Z230*N(L230))</f>
        <v/>
      </c>
      <c r="AC230" s="40">
        <f>IF(A230="","",N(O230)*52*N(L230))</f>
        <v/>
      </c>
      <c r="AD230" s="39">
        <f>IF(A230="","",C230*N(L230))</f>
        <v/>
      </c>
      <c r="AE230" s="41">
        <f>IF(A230="",0,IF(AND(OR(B230="Order now",B230="Critical"),F230=0),1,0))</f>
        <v/>
      </c>
      <c r="AF230" s="41">
        <f>IF(AE230=1,IFERROR(MATCH(H230,Suppliers!$B$5:$B$24,0),99)*1000+ROW(),"")</f>
        <v/>
      </c>
      <c r="AG230" s="41">
        <f>IF(AF230="","",COUNTIF('Stock list'!$AF$2:$AF$301,"&lt;"&amp;AF230)+1)</f>
        <v/>
      </c>
      <c r="AH230" s="41">
        <f>IF(A230="",0,IF(OR(AA230=0,AND(B230="OK",OR(C230&lt;=D230+N(O230)*Settings!$C$6,Settings!$C$10-AA230&gt;Settings!$C$8*7))),1,0))</f>
        <v/>
      </c>
      <c r="AI230" s="41">
        <f>IF(AH230=0,"",IF(AA230=0,"Never counted",IF(C230&lt;=D230+N(O230)*Settings!$C$6,"Near the reorder point","Not counted for "&amp;INT((Settings!$C$10-AA230)/7)&amp;" weeks")))</f>
        <v/>
      </c>
      <c r="AJ230" s="41">
        <f>IF(AH230=1,IFERROR(MATCH(M230,Settings!$G$19:$G$38,0),99)*1000+ROW(),"")</f>
        <v/>
      </c>
      <c r="AK230" s="41">
        <f>IF(AJ230="","",COUNTIF('Stock list'!$AJ$2:$AJ$301,"&lt;"&amp;AJ230)+1)</f>
        <v/>
      </c>
      <c r="AL230" s="41">
        <f>IF(OR(A230="",N(AC230)=0),"",AC230+ROW()/1000000)</f>
        <v/>
      </c>
    </row>
    <row r="231">
      <c r="A231" s="24" t="n"/>
      <c r="B231" s="30">
        <f>IF(A231="","",IF(AA231=0,"No count",IF(AND(N(O231)&gt;0,C231/O231*7&lt;Q231),"Critical",IF(F231&gt;0,"On order",IF(AND(D231&gt;0,C231&lt;=D231),"Order now","OK")))))</f>
        <v/>
      </c>
      <c r="C231" s="31">
        <f>IF(A231="","",MAX(0,IF(_xlfn.MAXIFS(Log!$A$2:$A$1001,Log!$B$2:$B$1001,A231,Log!$C$2:$C$1001,"Count")&gt;N(S231),_xlfn.MAXIFS(Log!$D$2:$D$1001,Log!$B$2:$B$1001,A231,Log!$C$2:$C$1001,"Count",Log!$A$2:$A$1001,AA231),N(R231))+SUMIFS(Log!$D$2:$D$1001,Log!$B$2:$B$1001,A231,Log!$C$2:$C$1001,"Received",Log!$A$2:$A$1001,"&gt;"&amp;AA231)-SUMIFS(Log!$D$2:$D$1001,Log!$B$2:$B$1001,A231,Log!$C$2:$C$1001,"Used",Log!$A$2:$A$1001,"&gt;"&amp;AA231)+SUMIFS(Log!$D$2:$D$1001,Log!$B$2:$B$1001,A231,Log!$C$2:$C$1001,"Adjustment",Log!$A$2:$A$1001,"&gt;"&amp;AA231)))</f>
        <v/>
      </c>
      <c r="D231" s="32">
        <f>IF(A231="","",IF(X231&lt;&gt;"",X231,W231))</f>
        <v/>
      </c>
      <c r="E231" s="33">
        <f>IF(OR(A231="",N(O231)=0),"",C231/O231)</f>
        <v/>
      </c>
      <c r="F231" s="31">
        <f>IF(A231="","",MAX(0,N(T231)-SUMIFS(Log!$D$2:$D$1001,Log!$B$2:$B$1001,A231,Log!$C$2:$C$1001,"Received",Log!$A$2:$A$1001,"&gt;="&amp;N(U231))))</f>
        <v/>
      </c>
      <c r="G231" s="24" t="n"/>
      <c r="H231" s="24" t="n"/>
      <c r="I231" s="24" t="n"/>
      <c r="J231" s="24" t="n"/>
      <c r="K231" s="24" t="n"/>
      <c r="L231" s="34" t="n"/>
      <c r="M231" s="24" t="n"/>
      <c r="N231" s="24" t="n"/>
      <c r="O231" s="35" t="n"/>
      <c r="P231" s="25" t="n"/>
      <c r="Q231" s="36">
        <f>IF(A231="","",IF(P231&lt;&gt;"",P231,IFERROR(IF(N(INDEX(Suppliers!$E$5:$E$24,MATCH(H231,Suppliers!$B$5:$B$24,0)))&gt;0,INDEX(Suppliers!$E$5:$E$24,MATCH(H231,Suppliers!$B$5:$B$24,0)),5),5)))</f>
        <v/>
      </c>
      <c r="R231" s="35" t="n"/>
      <c r="S231" s="37" t="n"/>
      <c r="T231" s="25" t="n"/>
      <c r="U231" s="37" t="n"/>
      <c r="V231" s="37" t="n"/>
      <c r="W231" s="36">
        <f>IF(A231="","",ROUNDUP(N(O231)*(Q231/7+Settings!$C$5),0))</f>
        <v/>
      </c>
      <c r="X231" s="25" t="n"/>
      <c r="Y231" s="25" t="n"/>
      <c r="Z231" s="32">
        <f>IF(A231="","",IF(Y231&lt;&gt;"",Y231,MAX(1,ROUNDUP(N(O231)*Settings!$C$7,0))))</f>
        <v/>
      </c>
      <c r="AA231" s="38">
        <f>IF(A231="","",MAX(N(S231),_xlfn.MAXIFS(Log!$A$2:$A$1001,Log!$B$2:$B$1001,A231,Log!$C$2:$C$1001,"Count")))</f>
        <v/>
      </c>
      <c r="AB231" s="39">
        <f>IF(A231="","",Z231*N(L231))</f>
        <v/>
      </c>
      <c r="AC231" s="40">
        <f>IF(A231="","",N(O231)*52*N(L231))</f>
        <v/>
      </c>
      <c r="AD231" s="39">
        <f>IF(A231="","",C231*N(L231))</f>
        <v/>
      </c>
      <c r="AE231" s="41">
        <f>IF(A231="",0,IF(AND(OR(B231="Order now",B231="Critical"),F231=0),1,0))</f>
        <v/>
      </c>
      <c r="AF231" s="41">
        <f>IF(AE231=1,IFERROR(MATCH(H231,Suppliers!$B$5:$B$24,0),99)*1000+ROW(),"")</f>
        <v/>
      </c>
      <c r="AG231" s="41">
        <f>IF(AF231="","",COUNTIF('Stock list'!$AF$2:$AF$301,"&lt;"&amp;AF231)+1)</f>
        <v/>
      </c>
      <c r="AH231" s="41">
        <f>IF(A231="",0,IF(OR(AA231=0,AND(B231="OK",OR(C231&lt;=D231+N(O231)*Settings!$C$6,Settings!$C$10-AA231&gt;Settings!$C$8*7))),1,0))</f>
        <v/>
      </c>
      <c r="AI231" s="41">
        <f>IF(AH231=0,"",IF(AA231=0,"Never counted",IF(C231&lt;=D231+N(O231)*Settings!$C$6,"Near the reorder point","Not counted for "&amp;INT((Settings!$C$10-AA231)/7)&amp;" weeks")))</f>
        <v/>
      </c>
      <c r="AJ231" s="41">
        <f>IF(AH231=1,IFERROR(MATCH(M231,Settings!$G$19:$G$38,0),99)*1000+ROW(),"")</f>
        <v/>
      </c>
      <c r="AK231" s="41">
        <f>IF(AJ231="","",COUNTIF('Stock list'!$AJ$2:$AJ$301,"&lt;"&amp;AJ231)+1)</f>
        <v/>
      </c>
      <c r="AL231" s="41">
        <f>IF(OR(A231="",N(AC231)=0),"",AC231+ROW()/1000000)</f>
        <v/>
      </c>
    </row>
    <row r="232">
      <c r="A232" s="24" t="n"/>
      <c r="B232" s="30">
        <f>IF(A232="","",IF(AA232=0,"No count",IF(AND(N(O232)&gt;0,C232/O232*7&lt;Q232),"Critical",IF(F232&gt;0,"On order",IF(AND(D232&gt;0,C232&lt;=D232),"Order now","OK")))))</f>
        <v/>
      </c>
      <c r="C232" s="31">
        <f>IF(A232="","",MAX(0,IF(_xlfn.MAXIFS(Log!$A$2:$A$1001,Log!$B$2:$B$1001,A232,Log!$C$2:$C$1001,"Count")&gt;N(S232),_xlfn.MAXIFS(Log!$D$2:$D$1001,Log!$B$2:$B$1001,A232,Log!$C$2:$C$1001,"Count",Log!$A$2:$A$1001,AA232),N(R232))+SUMIFS(Log!$D$2:$D$1001,Log!$B$2:$B$1001,A232,Log!$C$2:$C$1001,"Received",Log!$A$2:$A$1001,"&gt;"&amp;AA232)-SUMIFS(Log!$D$2:$D$1001,Log!$B$2:$B$1001,A232,Log!$C$2:$C$1001,"Used",Log!$A$2:$A$1001,"&gt;"&amp;AA232)+SUMIFS(Log!$D$2:$D$1001,Log!$B$2:$B$1001,A232,Log!$C$2:$C$1001,"Adjustment",Log!$A$2:$A$1001,"&gt;"&amp;AA232)))</f>
        <v/>
      </c>
      <c r="D232" s="32">
        <f>IF(A232="","",IF(X232&lt;&gt;"",X232,W232))</f>
        <v/>
      </c>
      <c r="E232" s="33">
        <f>IF(OR(A232="",N(O232)=0),"",C232/O232)</f>
        <v/>
      </c>
      <c r="F232" s="31">
        <f>IF(A232="","",MAX(0,N(T232)-SUMIFS(Log!$D$2:$D$1001,Log!$B$2:$B$1001,A232,Log!$C$2:$C$1001,"Received",Log!$A$2:$A$1001,"&gt;="&amp;N(U232))))</f>
        <v/>
      </c>
      <c r="G232" s="24" t="n"/>
      <c r="H232" s="24" t="n"/>
      <c r="I232" s="24" t="n"/>
      <c r="J232" s="24" t="n"/>
      <c r="K232" s="24" t="n"/>
      <c r="L232" s="34" t="n"/>
      <c r="M232" s="24" t="n"/>
      <c r="N232" s="24" t="n"/>
      <c r="O232" s="35" t="n"/>
      <c r="P232" s="25" t="n"/>
      <c r="Q232" s="36">
        <f>IF(A232="","",IF(P232&lt;&gt;"",P232,IFERROR(IF(N(INDEX(Suppliers!$E$5:$E$24,MATCH(H232,Suppliers!$B$5:$B$24,0)))&gt;0,INDEX(Suppliers!$E$5:$E$24,MATCH(H232,Suppliers!$B$5:$B$24,0)),5),5)))</f>
        <v/>
      </c>
      <c r="R232" s="35" t="n"/>
      <c r="S232" s="37" t="n"/>
      <c r="T232" s="25" t="n"/>
      <c r="U232" s="37" t="n"/>
      <c r="V232" s="37" t="n"/>
      <c r="W232" s="36">
        <f>IF(A232="","",ROUNDUP(N(O232)*(Q232/7+Settings!$C$5),0))</f>
        <v/>
      </c>
      <c r="X232" s="25" t="n"/>
      <c r="Y232" s="25" t="n"/>
      <c r="Z232" s="32">
        <f>IF(A232="","",IF(Y232&lt;&gt;"",Y232,MAX(1,ROUNDUP(N(O232)*Settings!$C$7,0))))</f>
        <v/>
      </c>
      <c r="AA232" s="38">
        <f>IF(A232="","",MAX(N(S232),_xlfn.MAXIFS(Log!$A$2:$A$1001,Log!$B$2:$B$1001,A232,Log!$C$2:$C$1001,"Count")))</f>
        <v/>
      </c>
      <c r="AB232" s="39">
        <f>IF(A232="","",Z232*N(L232))</f>
        <v/>
      </c>
      <c r="AC232" s="40">
        <f>IF(A232="","",N(O232)*52*N(L232))</f>
        <v/>
      </c>
      <c r="AD232" s="39">
        <f>IF(A232="","",C232*N(L232))</f>
        <v/>
      </c>
      <c r="AE232" s="41">
        <f>IF(A232="",0,IF(AND(OR(B232="Order now",B232="Critical"),F232=0),1,0))</f>
        <v/>
      </c>
      <c r="AF232" s="41">
        <f>IF(AE232=1,IFERROR(MATCH(H232,Suppliers!$B$5:$B$24,0),99)*1000+ROW(),"")</f>
        <v/>
      </c>
      <c r="AG232" s="41">
        <f>IF(AF232="","",COUNTIF('Stock list'!$AF$2:$AF$301,"&lt;"&amp;AF232)+1)</f>
        <v/>
      </c>
      <c r="AH232" s="41">
        <f>IF(A232="",0,IF(OR(AA232=0,AND(B232="OK",OR(C232&lt;=D232+N(O232)*Settings!$C$6,Settings!$C$10-AA232&gt;Settings!$C$8*7))),1,0))</f>
        <v/>
      </c>
      <c r="AI232" s="41">
        <f>IF(AH232=0,"",IF(AA232=0,"Never counted",IF(C232&lt;=D232+N(O232)*Settings!$C$6,"Near the reorder point","Not counted for "&amp;INT((Settings!$C$10-AA232)/7)&amp;" weeks")))</f>
        <v/>
      </c>
      <c r="AJ232" s="41">
        <f>IF(AH232=1,IFERROR(MATCH(M232,Settings!$G$19:$G$38,0),99)*1000+ROW(),"")</f>
        <v/>
      </c>
      <c r="AK232" s="41">
        <f>IF(AJ232="","",COUNTIF('Stock list'!$AJ$2:$AJ$301,"&lt;"&amp;AJ232)+1)</f>
        <v/>
      </c>
      <c r="AL232" s="41">
        <f>IF(OR(A232="",N(AC232)=0),"",AC232+ROW()/1000000)</f>
        <v/>
      </c>
    </row>
    <row r="233">
      <c r="A233" s="24" t="n"/>
      <c r="B233" s="30">
        <f>IF(A233="","",IF(AA233=0,"No count",IF(AND(N(O233)&gt;0,C233/O233*7&lt;Q233),"Critical",IF(F233&gt;0,"On order",IF(AND(D233&gt;0,C233&lt;=D233),"Order now","OK")))))</f>
        <v/>
      </c>
      <c r="C233" s="31">
        <f>IF(A233="","",MAX(0,IF(_xlfn.MAXIFS(Log!$A$2:$A$1001,Log!$B$2:$B$1001,A233,Log!$C$2:$C$1001,"Count")&gt;N(S233),_xlfn.MAXIFS(Log!$D$2:$D$1001,Log!$B$2:$B$1001,A233,Log!$C$2:$C$1001,"Count",Log!$A$2:$A$1001,AA233),N(R233))+SUMIFS(Log!$D$2:$D$1001,Log!$B$2:$B$1001,A233,Log!$C$2:$C$1001,"Received",Log!$A$2:$A$1001,"&gt;"&amp;AA233)-SUMIFS(Log!$D$2:$D$1001,Log!$B$2:$B$1001,A233,Log!$C$2:$C$1001,"Used",Log!$A$2:$A$1001,"&gt;"&amp;AA233)+SUMIFS(Log!$D$2:$D$1001,Log!$B$2:$B$1001,A233,Log!$C$2:$C$1001,"Adjustment",Log!$A$2:$A$1001,"&gt;"&amp;AA233)))</f>
        <v/>
      </c>
      <c r="D233" s="32">
        <f>IF(A233="","",IF(X233&lt;&gt;"",X233,W233))</f>
        <v/>
      </c>
      <c r="E233" s="33">
        <f>IF(OR(A233="",N(O233)=0),"",C233/O233)</f>
        <v/>
      </c>
      <c r="F233" s="31">
        <f>IF(A233="","",MAX(0,N(T233)-SUMIFS(Log!$D$2:$D$1001,Log!$B$2:$B$1001,A233,Log!$C$2:$C$1001,"Received",Log!$A$2:$A$1001,"&gt;="&amp;N(U233))))</f>
        <v/>
      </c>
      <c r="G233" s="24" t="n"/>
      <c r="H233" s="24" t="n"/>
      <c r="I233" s="24" t="n"/>
      <c r="J233" s="24" t="n"/>
      <c r="K233" s="24" t="n"/>
      <c r="L233" s="34" t="n"/>
      <c r="M233" s="24" t="n"/>
      <c r="N233" s="24" t="n"/>
      <c r="O233" s="35" t="n"/>
      <c r="P233" s="25" t="n"/>
      <c r="Q233" s="36">
        <f>IF(A233="","",IF(P233&lt;&gt;"",P233,IFERROR(IF(N(INDEX(Suppliers!$E$5:$E$24,MATCH(H233,Suppliers!$B$5:$B$24,0)))&gt;0,INDEX(Suppliers!$E$5:$E$24,MATCH(H233,Suppliers!$B$5:$B$24,0)),5),5)))</f>
        <v/>
      </c>
      <c r="R233" s="35" t="n"/>
      <c r="S233" s="37" t="n"/>
      <c r="T233" s="25" t="n"/>
      <c r="U233" s="37" t="n"/>
      <c r="V233" s="37" t="n"/>
      <c r="W233" s="36">
        <f>IF(A233="","",ROUNDUP(N(O233)*(Q233/7+Settings!$C$5),0))</f>
        <v/>
      </c>
      <c r="X233" s="25" t="n"/>
      <c r="Y233" s="25" t="n"/>
      <c r="Z233" s="32">
        <f>IF(A233="","",IF(Y233&lt;&gt;"",Y233,MAX(1,ROUNDUP(N(O233)*Settings!$C$7,0))))</f>
        <v/>
      </c>
      <c r="AA233" s="38">
        <f>IF(A233="","",MAX(N(S233),_xlfn.MAXIFS(Log!$A$2:$A$1001,Log!$B$2:$B$1001,A233,Log!$C$2:$C$1001,"Count")))</f>
        <v/>
      </c>
      <c r="AB233" s="39">
        <f>IF(A233="","",Z233*N(L233))</f>
        <v/>
      </c>
      <c r="AC233" s="40">
        <f>IF(A233="","",N(O233)*52*N(L233))</f>
        <v/>
      </c>
      <c r="AD233" s="39">
        <f>IF(A233="","",C233*N(L233))</f>
        <v/>
      </c>
      <c r="AE233" s="41">
        <f>IF(A233="",0,IF(AND(OR(B233="Order now",B233="Critical"),F233=0),1,0))</f>
        <v/>
      </c>
      <c r="AF233" s="41">
        <f>IF(AE233=1,IFERROR(MATCH(H233,Suppliers!$B$5:$B$24,0),99)*1000+ROW(),"")</f>
        <v/>
      </c>
      <c r="AG233" s="41">
        <f>IF(AF233="","",COUNTIF('Stock list'!$AF$2:$AF$301,"&lt;"&amp;AF233)+1)</f>
        <v/>
      </c>
      <c r="AH233" s="41">
        <f>IF(A233="",0,IF(OR(AA233=0,AND(B233="OK",OR(C233&lt;=D233+N(O233)*Settings!$C$6,Settings!$C$10-AA233&gt;Settings!$C$8*7))),1,0))</f>
        <v/>
      </c>
      <c r="AI233" s="41">
        <f>IF(AH233=0,"",IF(AA233=0,"Never counted",IF(C233&lt;=D233+N(O233)*Settings!$C$6,"Near the reorder point","Not counted for "&amp;INT((Settings!$C$10-AA233)/7)&amp;" weeks")))</f>
        <v/>
      </c>
      <c r="AJ233" s="41">
        <f>IF(AH233=1,IFERROR(MATCH(M233,Settings!$G$19:$G$38,0),99)*1000+ROW(),"")</f>
        <v/>
      </c>
      <c r="AK233" s="41">
        <f>IF(AJ233="","",COUNTIF('Stock list'!$AJ$2:$AJ$301,"&lt;"&amp;AJ233)+1)</f>
        <v/>
      </c>
      <c r="AL233" s="41">
        <f>IF(OR(A233="",N(AC233)=0),"",AC233+ROW()/1000000)</f>
        <v/>
      </c>
    </row>
    <row r="234">
      <c r="A234" s="24" t="n"/>
      <c r="B234" s="30">
        <f>IF(A234="","",IF(AA234=0,"No count",IF(AND(N(O234)&gt;0,C234/O234*7&lt;Q234),"Critical",IF(F234&gt;0,"On order",IF(AND(D234&gt;0,C234&lt;=D234),"Order now","OK")))))</f>
        <v/>
      </c>
      <c r="C234" s="31">
        <f>IF(A234="","",MAX(0,IF(_xlfn.MAXIFS(Log!$A$2:$A$1001,Log!$B$2:$B$1001,A234,Log!$C$2:$C$1001,"Count")&gt;N(S234),_xlfn.MAXIFS(Log!$D$2:$D$1001,Log!$B$2:$B$1001,A234,Log!$C$2:$C$1001,"Count",Log!$A$2:$A$1001,AA234),N(R234))+SUMIFS(Log!$D$2:$D$1001,Log!$B$2:$B$1001,A234,Log!$C$2:$C$1001,"Received",Log!$A$2:$A$1001,"&gt;"&amp;AA234)-SUMIFS(Log!$D$2:$D$1001,Log!$B$2:$B$1001,A234,Log!$C$2:$C$1001,"Used",Log!$A$2:$A$1001,"&gt;"&amp;AA234)+SUMIFS(Log!$D$2:$D$1001,Log!$B$2:$B$1001,A234,Log!$C$2:$C$1001,"Adjustment",Log!$A$2:$A$1001,"&gt;"&amp;AA234)))</f>
        <v/>
      </c>
      <c r="D234" s="32">
        <f>IF(A234="","",IF(X234&lt;&gt;"",X234,W234))</f>
        <v/>
      </c>
      <c r="E234" s="33">
        <f>IF(OR(A234="",N(O234)=0),"",C234/O234)</f>
        <v/>
      </c>
      <c r="F234" s="31">
        <f>IF(A234="","",MAX(0,N(T234)-SUMIFS(Log!$D$2:$D$1001,Log!$B$2:$B$1001,A234,Log!$C$2:$C$1001,"Received",Log!$A$2:$A$1001,"&gt;="&amp;N(U234))))</f>
        <v/>
      </c>
      <c r="G234" s="24" t="n"/>
      <c r="H234" s="24" t="n"/>
      <c r="I234" s="24" t="n"/>
      <c r="J234" s="24" t="n"/>
      <c r="K234" s="24" t="n"/>
      <c r="L234" s="34" t="n"/>
      <c r="M234" s="24" t="n"/>
      <c r="N234" s="24" t="n"/>
      <c r="O234" s="35" t="n"/>
      <c r="P234" s="25" t="n"/>
      <c r="Q234" s="36">
        <f>IF(A234="","",IF(P234&lt;&gt;"",P234,IFERROR(IF(N(INDEX(Suppliers!$E$5:$E$24,MATCH(H234,Suppliers!$B$5:$B$24,0)))&gt;0,INDEX(Suppliers!$E$5:$E$24,MATCH(H234,Suppliers!$B$5:$B$24,0)),5),5)))</f>
        <v/>
      </c>
      <c r="R234" s="35" t="n"/>
      <c r="S234" s="37" t="n"/>
      <c r="T234" s="25" t="n"/>
      <c r="U234" s="37" t="n"/>
      <c r="V234" s="37" t="n"/>
      <c r="W234" s="36">
        <f>IF(A234="","",ROUNDUP(N(O234)*(Q234/7+Settings!$C$5),0))</f>
        <v/>
      </c>
      <c r="X234" s="25" t="n"/>
      <c r="Y234" s="25" t="n"/>
      <c r="Z234" s="32">
        <f>IF(A234="","",IF(Y234&lt;&gt;"",Y234,MAX(1,ROUNDUP(N(O234)*Settings!$C$7,0))))</f>
        <v/>
      </c>
      <c r="AA234" s="38">
        <f>IF(A234="","",MAX(N(S234),_xlfn.MAXIFS(Log!$A$2:$A$1001,Log!$B$2:$B$1001,A234,Log!$C$2:$C$1001,"Count")))</f>
        <v/>
      </c>
      <c r="AB234" s="39">
        <f>IF(A234="","",Z234*N(L234))</f>
        <v/>
      </c>
      <c r="AC234" s="40">
        <f>IF(A234="","",N(O234)*52*N(L234))</f>
        <v/>
      </c>
      <c r="AD234" s="39">
        <f>IF(A234="","",C234*N(L234))</f>
        <v/>
      </c>
      <c r="AE234" s="41">
        <f>IF(A234="",0,IF(AND(OR(B234="Order now",B234="Critical"),F234=0),1,0))</f>
        <v/>
      </c>
      <c r="AF234" s="41">
        <f>IF(AE234=1,IFERROR(MATCH(H234,Suppliers!$B$5:$B$24,0),99)*1000+ROW(),"")</f>
        <v/>
      </c>
      <c r="AG234" s="41">
        <f>IF(AF234="","",COUNTIF('Stock list'!$AF$2:$AF$301,"&lt;"&amp;AF234)+1)</f>
        <v/>
      </c>
      <c r="AH234" s="41">
        <f>IF(A234="",0,IF(OR(AA234=0,AND(B234="OK",OR(C234&lt;=D234+N(O234)*Settings!$C$6,Settings!$C$10-AA234&gt;Settings!$C$8*7))),1,0))</f>
        <v/>
      </c>
      <c r="AI234" s="41">
        <f>IF(AH234=0,"",IF(AA234=0,"Never counted",IF(C234&lt;=D234+N(O234)*Settings!$C$6,"Near the reorder point","Not counted for "&amp;INT((Settings!$C$10-AA234)/7)&amp;" weeks")))</f>
        <v/>
      </c>
      <c r="AJ234" s="41">
        <f>IF(AH234=1,IFERROR(MATCH(M234,Settings!$G$19:$G$38,0),99)*1000+ROW(),"")</f>
        <v/>
      </c>
      <c r="AK234" s="41">
        <f>IF(AJ234="","",COUNTIF('Stock list'!$AJ$2:$AJ$301,"&lt;"&amp;AJ234)+1)</f>
        <v/>
      </c>
      <c r="AL234" s="41">
        <f>IF(OR(A234="",N(AC234)=0),"",AC234+ROW()/1000000)</f>
        <v/>
      </c>
    </row>
    <row r="235">
      <c r="A235" s="24" t="n"/>
      <c r="B235" s="30">
        <f>IF(A235="","",IF(AA235=0,"No count",IF(AND(N(O235)&gt;0,C235/O235*7&lt;Q235),"Critical",IF(F235&gt;0,"On order",IF(AND(D235&gt;0,C235&lt;=D235),"Order now","OK")))))</f>
        <v/>
      </c>
      <c r="C235" s="31">
        <f>IF(A235="","",MAX(0,IF(_xlfn.MAXIFS(Log!$A$2:$A$1001,Log!$B$2:$B$1001,A235,Log!$C$2:$C$1001,"Count")&gt;N(S235),_xlfn.MAXIFS(Log!$D$2:$D$1001,Log!$B$2:$B$1001,A235,Log!$C$2:$C$1001,"Count",Log!$A$2:$A$1001,AA235),N(R235))+SUMIFS(Log!$D$2:$D$1001,Log!$B$2:$B$1001,A235,Log!$C$2:$C$1001,"Received",Log!$A$2:$A$1001,"&gt;"&amp;AA235)-SUMIFS(Log!$D$2:$D$1001,Log!$B$2:$B$1001,A235,Log!$C$2:$C$1001,"Used",Log!$A$2:$A$1001,"&gt;"&amp;AA235)+SUMIFS(Log!$D$2:$D$1001,Log!$B$2:$B$1001,A235,Log!$C$2:$C$1001,"Adjustment",Log!$A$2:$A$1001,"&gt;"&amp;AA235)))</f>
        <v/>
      </c>
      <c r="D235" s="32">
        <f>IF(A235="","",IF(X235&lt;&gt;"",X235,W235))</f>
        <v/>
      </c>
      <c r="E235" s="33">
        <f>IF(OR(A235="",N(O235)=0),"",C235/O235)</f>
        <v/>
      </c>
      <c r="F235" s="31">
        <f>IF(A235="","",MAX(0,N(T235)-SUMIFS(Log!$D$2:$D$1001,Log!$B$2:$B$1001,A235,Log!$C$2:$C$1001,"Received",Log!$A$2:$A$1001,"&gt;="&amp;N(U235))))</f>
        <v/>
      </c>
      <c r="G235" s="24" t="n"/>
      <c r="H235" s="24" t="n"/>
      <c r="I235" s="24" t="n"/>
      <c r="J235" s="24" t="n"/>
      <c r="K235" s="24" t="n"/>
      <c r="L235" s="34" t="n"/>
      <c r="M235" s="24" t="n"/>
      <c r="N235" s="24" t="n"/>
      <c r="O235" s="35" t="n"/>
      <c r="P235" s="25" t="n"/>
      <c r="Q235" s="36">
        <f>IF(A235="","",IF(P235&lt;&gt;"",P235,IFERROR(IF(N(INDEX(Suppliers!$E$5:$E$24,MATCH(H235,Suppliers!$B$5:$B$24,0)))&gt;0,INDEX(Suppliers!$E$5:$E$24,MATCH(H235,Suppliers!$B$5:$B$24,0)),5),5)))</f>
        <v/>
      </c>
      <c r="R235" s="35" t="n"/>
      <c r="S235" s="37" t="n"/>
      <c r="T235" s="25" t="n"/>
      <c r="U235" s="37" t="n"/>
      <c r="V235" s="37" t="n"/>
      <c r="W235" s="36">
        <f>IF(A235="","",ROUNDUP(N(O235)*(Q235/7+Settings!$C$5),0))</f>
        <v/>
      </c>
      <c r="X235" s="25" t="n"/>
      <c r="Y235" s="25" t="n"/>
      <c r="Z235" s="32">
        <f>IF(A235="","",IF(Y235&lt;&gt;"",Y235,MAX(1,ROUNDUP(N(O235)*Settings!$C$7,0))))</f>
        <v/>
      </c>
      <c r="AA235" s="38">
        <f>IF(A235="","",MAX(N(S235),_xlfn.MAXIFS(Log!$A$2:$A$1001,Log!$B$2:$B$1001,A235,Log!$C$2:$C$1001,"Count")))</f>
        <v/>
      </c>
      <c r="AB235" s="39">
        <f>IF(A235="","",Z235*N(L235))</f>
        <v/>
      </c>
      <c r="AC235" s="40">
        <f>IF(A235="","",N(O235)*52*N(L235))</f>
        <v/>
      </c>
      <c r="AD235" s="39">
        <f>IF(A235="","",C235*N(L235))</f>
        <v/>
      </c>
      <c r="AE235" s="41">
        <f>IF(A235="",0,IF(AND(OR(B235="Order now",B235="Critical"),F235=0),1,0))</f>
        <v/>
      </c>
      <c r="AF235" s="41">
        <f>IF(AE235=1,IFERROR(MATCH(H235,Suppliers!$B$5:$B$24,0),99)*1000+ROW(),"")</f>
        <v/>
      </c>
      <c r="AG235" s="41">
        <f>IF(AF235="","",COUNTIF('Stock list'!$AF$2:$AF$301,"&lt;"&amp;AF235)+1)</f>
        <v/>
      </c>
      <c r="AH235" s="41">
        <f>IF(A235="",0,IF(OR(AA235=0,AND(B235="OK",OR(C235&lt;=D235+N(O235)*Settings!$C$6,Settings!$C$10-AA235&gt;Settings!$C$8*7))),1,0))</f>
        <v/>
      </c>
      <c r="AI235" s="41">
        <f>IF(AH235=0,"",IF(AA235=0,"Never counted",IF(C235&lt;=D235+N(O235)*Settings!$C$6,"Near the reorder point","Not counted for "&amp;INT((Settings!$C$10-AA235)/7)&amp;" weeks")))</f>
        <v/>
      </c>
      <c r="AJ235" s="41">
        <f>IF(AH235=1,IFERROR(MATCH(M235,Settings!$G$19:$G$38,0),99)*1000+ROW(),"")</f>
        <v/>
      </c>
      <c r="AK235" s="41">
        <f>IF(AJ235="","",COUNTIF('Stock list'!$AJ$2:$AJ$301,"&lt;"&amp;AJ235)+1)</f>
        <v/>
      </c>
      <c r="AL235" s="41">
        <f>IF(OR(A235="",N(AC235)=0),"",AC235+ROW()/1000000)</f>
        <v/>
      </c>
    </row>
    <row r="236">
      <c r="A236" s="24" t="n"/>
      <c r="B236" s="30">
        <f>IF(A236="","",IF(AA236=0,"No count",IF(AND(N(O236)&gt;0,C236/O236*7&lt;Q236),"Critical",IF(F236&gt;0,"On order",IF(AND(D236&gt;0,C236&lt;=D236),"Order now","OK")))))</f>
        <v/>
      </c>
      <c r="C236" s="31">
        <f>IF(A236="","",MAX(0,IF(_xlfn.MAXIFS(Log!$A$2:$A$1001,Log!$B$2:$B$1001,A236,Log!$C$2:$C$1001,"Count")&gt;N(S236),_xlfn.MAXIFS(Log!$D$2:$D$1001,Log!$B$2:$B$1001,A236,Log!$C$2:$C$1001,"Count",Log!$A$2:$A$1001,AA236),N(R236))+SUMIFS(Log!$D$2:$D$1001,Log!$B$2:$B$1001,A236,Log!$C$2:$C$1001,"Received",Log!$A$2:$A$1001,"&gt;"&amp;AA236)-SUMIFS(Log!$D$2:$D$1001,Log!$B$2:$B$1001,A236,Log!$C$2:$C$1001,"Used",Log!$A$2:$A$1001,"&gt;"&amp;AA236)+SUMIFS(Log!$D$2:$D$1001,Log!$B$2:$B$1001,A236,Log!$C$2:$C$1001,"Adjustment",Log!$A$2:$A$1001,"&gt;"&amp;AA236)))</f>
        <v/>
      </c>
      <c r="D236" s="32">
        <f>IF(A236="","",IF(X236&lt;&gt;"",X236,W236))</f>
        <v/>
      </c>
      <c r="E236" s="33">
        <f>IF(OR(A236="",N(O236)=0),"",C236/O236)</f>
        <v/>
      </c>
      <c r="F236" s="31">
        <f>IF(A236="","",MAX(0,N(T236)-SUMIFS(Log!$D$2:$D$1001,Log!$B$2:$B$1001,A236,Log!$C$2:$C$1001,"Received",Log!$A$2:$A$1001,"&gt;="&amp;N(U236))))</f>
        <v/>
      </c>
      <c r="G236" s="24" t="n"/>
      <c r="H236" s="24" t="n"/>
      <c r="I236" s="24" t="n"/>
      <c r="J236" s="24" t="n"/>
      <c r="K236" s="24" t="n"/>
      <c r="L236" s="34" t="n"/>
      <c r="M236" s="24" t="n"/>
      <c r="N236" s="24" t="n"/>
      <c r="O236" s="35" t="n"/>
      <c r="P236" s="25" t="n"/>
      <c r="Q236" s="36">
        <f>IF(A236="","",IF(P236&lt;&gt;"",P236,IFERROR(IF(N(INDEX(Suppliers!$E$5:$E$24,MATCH(H236,Suppliers!$B$5:$B$24,0)))&gt;0,INDEX(Suppliers!$E$5:$E$24,MATCH(H236,Suppliers!$B$5:$B$24,0)),5),5)))</f>
        <v/>
      </c>
      <c r="R236" s="35" t="n"/>
      <c r="S236" s="37" t="n"/>
      <c r="T236" s="25" t="n"/>
      <c r="U236" s="37" t="n"/>
      <c r="V236" s="37" t="n"/>
      <c r="W236" s="36">
        <f>IF(A236="","",ROUNDUP(N(O236)*(Q236/7+Settings!$C$5),0))</f>
        <v/>
      </c>
      <c r="X236" s="25" t="n"/>
      <c r="Y236" s="25" t="n"/>
      <c r="Z236" s="32">
        <f>IF(A236="","",IF(Y236&lt;&gt;"",Y236,MAX(1,ROUNDUP(N(O236)*Settings!$C$7,0))))</f>
        <v/>
      </c>
      <c r="AA236" s="38">
        <f>IF(A236="","",MAX(N(S236),_xlfn.MAXIFS(Log!$A$2:$A$1001,Log!$B$2:$B$1001,A236,Log!$C$2:$C$1001,"Count")))</f>
        <v/>
      </c>
      <c r="AB236" s="39">
        <f>IF(A236="","",Z236*N(L236))</f>
        <v/>
      </c>
      <c r="AC236" s="40">
        <f>IF(A236="","",N(O236)*52*N(L236))</f>
        <v/>
      </c>
      <c r="AD236" s="39">
        <f>IF(A236="","",C236*N(L236))</f>
        <v/>
      </c>
      <c r="AE236" s="41">
        <f>IF(A236="",0,IF(AND(OR(B236="Order now",B236="Critical"),F236=0),1,0))</f>
        <v/>
      </c>
      <c r="AF236" s="41">
        <f>IF(AE236=1,IFERROR(MATCH(H236,Suppliers!$B$5:$B$24,0),99)*1000+ROW(),"")</f>
        <v/>
      </c>
      <c r="AG236" s="41">
        <f>IF(AF236="","",COUNTIF('Stock list'!$AF$2:$AF$301,"&lt;"&amp;AF236)+1)</f>
        <v/>
      </c>
      <c r="AH236" s="41">
        <f>IF(A236="",0,IF(OR(AA236=0,AND(B236="OK",OR(C236&lt;=D236+N(O236)*Settings!$C$6,Settings!$C$10-AA236&gt;Settings!$C$8*7))),1,0))</f>
        <v/>
      </c>
      <c r="AI236" s="41">
        <f>IF(AH236=0,"",IF(AA236=0,"Never counted",IF(C236&lt;=D236+N(O236)*Settings!$C$6,"Near the reorder point","Not counted for "&amp;INT((Settings!$C$10-AA236)/7)&amp;" weeks")))</f>
        <v/>
      </c>
      <c r="AJ236" s="41">
        <f>IF(AH236=1,IFERROR(MATCH(M236,Settings!$G$19:$G$38,0),99)*1000+ROW(),"")</f>
        <v/>
      </c>
      <c r="AK236" s="41">
        <f>IF(AJ236="","",COUNTIF('Stock list'!$AJ$2:$AJ$301,"&lt;"&amp;AJ236)+1)</f>
        <v/>
      </c>
      <c r="AL236" s="41">
        <f>IF(OR(A236="",N(AC236)=0),"",AC236+ROW()/1000000)</f>
        <v/>
      </c>
    </row>
    <row r="237">
      <c r="A237" s="24" t="n"/>
      <c r="B237" s="30">
        <f>IF(A237="","",IF(AA237=0,"No count",IF(AND(N(O237)&gt;0,C237/O237*7&lt;Q237),"Critical",IF(F237&gt;0,"On order",IF(AND(D237&gt;0,C237&lt;=D237),"Order now","OK")))))</f>
        <v/>
      </c>
      <c r="C237" s="31">
        <f>IF(A237="","",MAX(0,IF(_xlfn.MAXIFS(Log!$A$2:$A$1001,Log!$B$2:$B$1001,A237,Log!$C$2:$C$1001,"Count")&gt;N(S237),_xlfn.MAXIFS(Log!$D$2:$D$1001,Log!$B$2:$B$1001,A237,Log!$C$2:$C$1001,"Count",Log!$A$2:$A$1001,AA237),N(R237))+SUMIFS(Log!$D$2:$D$1001,Log!$B$2:$B$1001,A237,Log!$C$2:$C$1001,"Received",Log!$A$2:$A$1001,"&gt;"&amp;AA237)-SUMIFS(Log!$D$2:$D$1001,Log!$B$2:$B$1001,A237,Log!$C$2:$C$1001,"Used",Log!$A$2:$A$1001,"&gt;"&amp;AA237)+SUMIFS(Log!$D$2:$D$1001,Log!$B$2:$B$1001,A237,Log!$C$2:$C$1001,"Adjustment",Log!$A$2:$A$1001,"&gt;"&amp;AA237)))</f>
        <v/>
      </c>
      <c r="D237" s="32">
        <f>IF(A237="","",IF(X237&lt;&gt;"",X237,W237))</f>
        <v/>
      </c>
      <c r="E237" s="33">
        <f>IF(OR(A237="",N(O237)=0),"",C237/O237)</f>
        <v/>
      </c>
      <c r="F237" s="31">
        <f>IF(A237="","",MAX(0,N(T237)-SUMIFS(Log!$D$2:$D$1001,Log!$B$2:$B$1001,A237,Log!$C$2:$C$1001,"Received",Log!$A$2:$A$1001,"&gt;="&amp;N(U237))))</f>
        <v/>
      </c>
      <c r="G237" s="24" t="n"/>
      <c r="H237" s="24" t="n"/>
      <c r="I237" s="24" t="n"/>
      <c r="J237" s="24" t="n"/>
      <c r="K237" s="24" t="n"/>
      <c r="L237" s="34" t="n"/>
      <c r="M237" s="24" t="n"/>
      <c r="N237" s="24" t="n"/>
      <c r="O237" s="35" t="n"/>
      <c r="P237" s="25" t="n"/>
      <c r="Q237" s="36">
        <f>IF(A237="","",IF(P237&lt;&gt;"",P237,IFERROR(IF(N(INDEX(Suppliers!$E$5:$E$24,MATCH(H237,Suppliers!$B$5:$B$24,0)))&gt;0,INDEX(Suppliers!$E$5:$E$24,MATCH(H237,Suppliers!$B$5:$B$24,0)),5),5)))</f>
        <v/>
      </c>
      <c r="R237" s="35" t="n"/>
      <c r="S237" s="37" t="n"/>
      <c r="T237" s="25" t="n"/>
      <c r="U237" s="37" t="n"/>
      <c r="V237" s="37" t="n"/>
      <c r="W237" s="36">
        <f>IF(A237="","",ROUNDUP(N(O237)*(Q237/7+Settings!$C$5),0))</f>
        <v/>
      </c>
      <c r="X237" s="25" t="n"/>
      <c r="Y237" s="25" t="n"/>
      <c r="Z237" s="32">
        <f>IF(A237="","",IF(Y237&lt;&gt;"",Y237,MAX(1,ROUNDUP(N(O237)*Settings!$C$7,0))))</f>
        <v/>
      </c>
      <c r="AA237" s="38">
        <f>IF(A237="","",MAX(N(S237),_xlfn.MAXIFS(Log!$A$2:$A$1001,Log!$B$2:$B$1001,A237,Log!$C$2:$C$1001,"Count")))</f>
        <v/>
      </c>
      <c r="AB237" s="39">
        <f>IF(A237="","",Z237*N(L237))</f>
        <v/>
      </c>
      <c r="AC237" s="40">
        <f>IF(A237="","",N(O237)*52*N(L237))</f>
        <v/>
      </c>
      <c r="AD237" s="39">
        <f>IF(A237="","",C237*N(L237))</f>
        <v/>
      </c>
      <c r="AE237" s="41">
        <f>IF(A237="",0,IF(AND(OR(B237="Order now",B237="Critical"),F237=0),1,0))</f>
        <v/>
      </c>
      <c r="AF237" s="41">
        <f>IF(AE237=1,IFERROR(MATCH(H237,Suppliers!$B$5:$B$24,0),99)*1000+ROW(),"")</f>
        <v/>
      </c>
      <c r="AG237" s="41">
        <f>IF(AF237="","",COUNTIF('Stock list'!$AF$2:$AF$301,"&lt;"&amp;AF237)+1)</f>
        <v/>
      </c>
      <c r="AH237" s="41">
        <f>IF(A237="",0,IF(OR(AA237=0,AND(B237="OK",OR(C237&lt;=D237+N(O237)*Settings!$C$6,Settings!$C$10-AA237&gt;Settings!$C$8*7))),1,0))</f>
        <v/>
      </c>
      <c r="AI237" s="41">
        <f>IF(AH237=0,"",IF(AA237=0,"Never counted",IF(C237&lt;=D237+N(O237)*Settings!$C$6,"Near the reorder point","Not counted for "&amp;INT((Settings!$C$10-AA237)/7)&amp;" weeks")))</f>
        <v/>
      </c>
      <c r="AJ237" s="41">
        <f>IF(AH237=1,IFERROR(MATCH(M237,Settings!$G$19:$G$38,0),99)*1000+ROW(),"")</f>
        <v/>
      </c>
      <c r="AK237" s="41">
        <f>IF(AJ237="","",COUNTIF('Stock list'!$AJ$2:$AJ$301,"&lt;"&amp;AJ237)+1)</f>
        <v/>
      </c>
      <c r="AL237" s="41">
        <f>IF(OR(A237="",N(AC237)=0),"",AC237+ROW()/1000000)</f>
        <v/>
      </c>
    </row>
    <row r="238">
      <c r="A238" s="24" t="n"/>
      <c r="B238" s="30">
        <f>IF(A238="","",IF(AA238=0,"No count",IF(AND(N(O238)&gt;0,C238/O238*7&lt;Q238),"Critical",IF(F238&gt;0,"On order",IF(AND(D238&gt;0,C238&lt;=D238),"Order now","OK")))))</f>
        <v/>
      </c>
      <c r="C238" s="31">
        <f>IF(A238="","",MAX(0,IF(_xlfn.MAXIFS(Log!$A$2:$A$1001,Log!$B$2:$B$1001,A238,Log!$C$2:$C$1001,"Count")&gt;N(S238),_xlfn.MAXIFS(Log!$D$2:$D$1001,Log!$B$2:$B$1001,A238,Log!$C$2:$C$1001,"Count",Log!$A$2:$A$1001,AA238),N(R238))+SUMIFS(Log!$D$2:$D$1001,Log!$B$2:$B$1001,A238,Log!$C$2:$C$1001,"Received",Log!$A$2:$A$1001,"&gt;"&amp;AA238)-SUMIFS(Log!$D$2:$D$1001,Log!$B$2:$B$1001,A238,Log!$C$2:$C$1001,"Used",Log!$A$2:$A$1001,"&gt;"&amp;AA238)+SUMIFS(Log!$D$2:$D$1001,Log!$B$2:$B$1001,A238,Log!$C$2:$C$1001,"Adjustment",Log!$A$2:$A$1001,"&gt;"&amp;AA238)))</f>
        <v/>
      </c>
      <c r="D238" s="32">
        <f>IF(A238="","",IF(X238&lt;&gt;"",X238,W238))</f>
        <v/>
      </c>
      <c r="E238" s="33">
        <f>IF(OR(A238="",N(O238)=0),"",C238/O238)</f>
        <v/>
      </c>
      <c r="F238" s="31">
        <f>IF(A238="","",MAX(0,N(T238)-SUMIFS(Log!$D$2:$D$1001,Log!$B$2:$B$1001,A238,Log!$C$2:$C$1001,"Received",Log!$A$2:$A$1001,"&gt;="&amp;N(U238))))</f>
        <v/>
      </c>
      <c r="G238" s="24" t="n"/>
      <c r="H238" s="24" t="n"/>
      <c r="I238" s="24" t="n"/>
      <c r="J238" s="24" t="n"/>
      <c r="K238" s="24" t="n"/>
      <c r="L238" s="34" t="n"/>
      <c r="M238" s="24" t="n"/>
      <c r="N238" s="24" t="n"/>
      <c r="O238" s="35" t="n"/>
      <c r="P238" s="25" t="n"/>
      <c r="Q238" s="36">
        <f>IF(A238="","",IF(P238&lt;&gt;"",P238,IFERROR(IF(N(INDEX(Suppliers!$E$5:$E$24,MATCH(H238,Suppliers!$B$5:$B$24,0)))&gt;0,INDEX(Suppliers!$E$5:$E$24,MATCH(H238,Suppliers!$B$5:$B$24,0)),5),5)))</f>
        <v/>
      </c>
      <c r="R238" s="35" t="n"/>
      <c r="S238" s="37" t="n"/>
      <c r="T238" s="25" t="n"/>
      <c r="U238" s="37" t="n"/>
      <c r="V238" s="37" t="n"/>
      <c r="W238" s="36">
        <f>IF(A238="","",ROUNDUP(N(O238)*(Q238/7+Settings!$C$5),0))</f>
        <v/>
      </c>
      <c r="X238" s="25" t="n"/>
      <c r="Y238" s="25" t="n"/>
      <c r="Z238" s="32">
        <f>IF(A238="","",IF(Y238&lt;&gt;"",Y238,MAX(1,ROUNDUP(N(O238)*Settings!$C$7,0))))</f>
        <v/>
      </c>
      <c r="AA238" s="38">
        <f>IF(A238="","",MAX(N(S238),_xlfn.MAXIFS(Log!$A$2:$A$1001,Log!$B$2:$B$1001,A238,Log!$C$2:$C$1001,"Count")))</f>
        <v/>
      </c>
      <c r="AB238" s="39">
        <f>IF(A238="","",Z238*N(L238))</f>
        <v/>
      </c>
      <c r="AC238" s="40">
        <f>IF(A238="","",N(O238)*52*N(L238))</f>
        <v/>
      </c>
      <c r="AD238" s="39">
        <f>IF(A238="","",C238*N(L238))</f>
        <v/>
      </c>
      <c r="AE238" s="41">
        <f>IF(A238="",0,IF(AND(OR(B238="Order now",B238="Critical"),F238=0),1,0))</f>
        <v/>
      </c>
      <c r="AF238" s="41">
        <f>IF(AE238=1,IFERROR(MATCH(H238,Suppliers!$B$5:$B$24,0),99)*1000+ROW(),"")</f>
        <v/>
      </c>
      <c r="AG238" s="41">
        <f>IF(AF238="","",COUNTIF('Stock list'!$AF$2:$AF$301,"&lt;"&amp;AF238)+1)</f>
        <v/>
      </c>
      <c r="AH238" s="41">
        <f>IF(A238="",0,IF(OR(AA238=0,AND(B238="OK",OR(C238&lt;=D238+N(O238)*Settings!$C$6,Settings!$C$10-AA238&gt;Settings!$C$8*7))),1,0))</f>
        <v/>
      </c>
      <c r="AI238" s="41">
        <f>IF(AH238=0,"",IF(AA238=0,"Never counted",IF(C238&lt;=D238+N(O238)*Settings!$C$6,"Near the reorder point","Not counted for "&amp;INT((Settings!$C$10-AA238)/7)&amp;" weeks")))</f>
        <v/>
      </c>
      <c r="AJ238" s="41">
        <f>IF(AH238=1,IFERROR(MATCH(M238,Settings!$G$19:$G$38,0),99)*1000+ROW(),"")</f>
        <v/>
      </c>
      <c r="AK238" s="41">
        <f>IF(AJ238="","",COUNTIF('Stock list'!$AJ$2:$AJ$301,"&lt;"&amp;AJ238)+1)</f>
        <v/>
      </c>
      <c r="AL238" s="41">
        <f>IF(OR(A238="",N(AC238)=0),"",AC238+ROW()/1000000)</f>
        <v/>
      </c>
    </row>
    <row r="239">
      <c r="A239" s="24" t="n"/>
      <c r="B239" s="30">
        <f>IF(A239="","",IF(AA239=0,"No count",IF(AND(N(O239)&gt;0,C239/O239*7&lt;Q239),"Critical",IF(F239&gt;0,"On order",IF(AND(D239&gt;0,C239&lt;=D239),"Order now","OK")))))</f>
        <v/>
      </c>
      <c r="C239" s="31">
        <f>IF(A239="","",MAX(0,IF(_xlfn.MAXIFS(Log!$A$2:$A$1001,Log!$B$2:$B$1001,A239,Log!$C$2:$C$1001,"Count")&gt;N(S239),_xlfn.MAXIFS(Log!$D$2:$D$1001,Log!$B$2:$B$1001,A239,Log!$C$2:$C$1001,"Count",Log!$A$2:$A$1001,AA239),N(R239))+SUMIFS(Log!$D$2:$D$1001,Log!$B$2:$B$1001,A239,Log!$C$2:$C$1001,"Received",Log!$A$2:$A$1001,"&gt;"&amp;AA239)-SUMIFS(Log!$D$2:$D$1001,Log!$B$2:$B$1001,A239,Log!$C$2:$C$1001,"Used",Log!$A$2:$A$1001,"&gt;"&amp;AA239)+SUMIFS(Log!$D$2:$D$1001,Log!$B$2:$B$1001,A239,Log!$C$2:$C$1001,"Adjustment",Log!$A$2:$A$1001,"&gt;"&amp;AA239)))</f>
        <v/>
      </c>
      <c r="D239" s="32">
        <f>IF(A239="","",IF(X239&lt;&gt;"",X239,W239))</f>
        <v/>
      </c>
      <c r="E239" s="33">
        <f>IF(OR(A239="",N(O239)=0),"",C239/O239)</f>
        <v/>
      </c>
      <c r="F239" s="31">
        <f>IF(A239="","",MAX(0,N(T239)-SUMIFS(Log!$D$2:$D$1001,Log!$B$2:$B$1001,A239,Log!$C$2:$C$1001,"Received",Log!$A$2:$A$1001,"&gt;="&amp;N(U239))))</f>
        <v/>
      </c>
      <c r="G239" s="24" t="n"/>
      <c r="H239" s="24" t="n"/>
      <c r="I239" s="24" t="n"/>
      <c r="J239" s="24" t="n"/>
      <c r="K239" s="24" t="n"/>
      <c r="L239" s="34" t="n"/>
      <c r="M239" s="24" t="n"/>
      <c r="N239" s="24" t="n"/>
      <c r="O239" s="35" t="n"/>
      <c r="P239" s="25" t="n"/>
      <c r="Q239" s="36">
        <f>IF(A239="","",IF(P239&lt;&gt;"",P239,IFERROR(IF(N(INDEX(Suppliers!$E$5:$E$24,MATCH(H239,Suppliers!$B$5:$B$24,0)))&gt;0,INDEX(Suppliers!$E$5:$E$24,MATCH(H239,Suppliers!$B$5:$B$24,0)),5),5)))</f>
        <v/>
      </c>
      <c r="R239" s="35" t="n"/>
      <c r="S239" s="37" t="n"/>
      <c r="T239" s="25" t="n"/>
      <c r="U239" s="37" t="n"/>
      <c r="V239" s="37" t="n"/>
      <c r="W239" s="36">
        <f>IF(A239="","",ROUNDUP(N(O239)*(Q239/7+Settings!$C$5),0))</f>
        <v/>
      </c>
      <c r="X239" s="25" t="n"/>
      <c r="Y239" s="25" t="n"/>
      <c r="Z239" s="32">
        <f>IF(A239="","",IF(Y239&lt;&gt;"",Y239,MAX(1,ROUNDUP(N(O239)*Settings!$C$7,0))))</f>
        <v/>
      </c>
      <c r="AA239" s="38">
        <f>IF(A239="","",MAX(N(S239),_xlfn.MAXIFS(Log!$A$2:$A$1001,Log!$B$2:$B$1001,A239,Log!$C$2:$C$1001,"Count")))</f>
        <v/>
      </c>
      <c r="AB239" s="39">
        <f>IF(A239="","",Z239*N(L239))</f>
        <v/>
      </c>
      <c r="AC239" s="40">
        <f>IF(A239="","",N(O239)*52*N(L239))</f>
        <v/>
      </c>
      <c r="AD239" s="39">
        <f>IF(A239="","",C239*N(L239))</f>
        <v/>
      </c>
      <c r="AE239" s="41">
        <f>IF(A239="",0,IF(AND(OR(B239="Order now",B239="Critical"),F239=0),1,0))</f>
        <v/>
      </c>
      <c r="AF239" s="41">
        <f>IF(AE239=1,IFERROR(MATCH(H239,Suppliers!$B$5:$B$24,0),99)*1000+ROW(),"")</f>
        <v/>
      </c>
      <c r="AG239" s="41">
        <f>IF(AF239="","",COUNTIF('Stock list'!$AF$2:$AF$301,"&lt;"&amp;AF239)+1)</f>
        <v/>
      </c>
      <c r="AH239" s="41">
        <f>IF(A239="",0,IF(OR(AA239=0,AND(B239="OK",OR(C239&lt;=D239+N(O239)*Settings!$C$6,Settings!$C$10-AA239&gt;Settings!$C$8*7))),1,0))</f>
        <v/>
      </c>
      <c r="AI239" s="41">
        <f>IF(AH239=0,"",IF(AA239=0,"Never counted",IF(C239&lt;=D239+N(O239)*Settings!$C$6,"Near the reorder point","Not counted for "&amp;INT((Settings!$C$10-AA239)/7)&amp;" weeks")))</f>
        <v/>
      </c>
      <c r="AJ239" s="41">
        <f>IF(AH239=1,IFERROR(MATCH(M239,Settings!$G$19:$G$38,0),99)*1000+ROW(),"")</f>
        <v/>
      </c>
      <c r="AK239" s="41">
        <f>IF(AJ239="","",COUNTIF('Stock list'!$AJ$2:$AJ$301,"&lt;"&amp;AJ239)+1)</f>
        <v/>
      </c>
      <c r="AL239" s="41">
        <f>IF(OR(A239="",N(AC239)=0),"",AC239+ROW()/1000000)</f>
        <v/>
      </c>
    </row>
    <row r="240">
      <c r="A240" s="24" t="n"/>
      <c r="B240" s="30">
        <f>IF(A240="","",IF(AA240=0,"No count",IF(AND(N(O240)&gt;0,C240/O240*7&lt;Q240),"Critical",IF(F240&gt;0,"On order",IF(AND(D240&gt;0,C240&lt;=D240),"Order now","OK")))))</f>
        <v/>
      </c>
      <c r="C240" s="31">
        <f>IF(A240="","",MAX(0,IF(_xlfn.MAXIFS(Log!$A$2:$A$1001,Log!$B$2:$B$1001,A240,Log!$C$2:$C$1001,"Count")&gt;N(S240),_xlfn.MAXIFS(Log!$D$2:$D$1001,Log!$B$2:$B$1001,A240,Log!$C$2:$C$1001,"Count",Log!$A$2:$A$1001,AA240),N(R240))+SUMIFS(Log!$D$2:$D$1001,Log!$B$2:$B$1001,A240,Log!$C$2:$C$1001,"Received",Log!$A$2:$A$1001,"&gt;"&amp;AA240)-SUMIFS(Log!$D$2:$D$1001,Log!$B$2:$B$1001,A240,Log!$C$2:$C$1001,"Used",Log!$A$2:$A$1001,"&gt;"&amp;AA240)+SUMIFS(Log!$D$2:$D$1001,Log!$B$2:$B$1001,A240,Log!$C$2:$C$1001,"Adjustment",Log!$A$2:$A$1001,"&gt;"&amp;AA240)))</f>
        <v/>
      </c>
      <c r="D240" s="32">
        <f>IF(A240="","",IF(X240&lt;&gt;"",X240,W240))</f>
        <v/>
      </c>
      <c r="E240" s="33">
        <f>IF(OR(A240="",N(O240)=0),"",C240/O240)</f>
        <v/>
      </c>
      <c r="F240" s="31">
        <f>IF(A240="","",MAX(0,N(T240)-SUMIFS(Log!$D$2:$D$1001,Log!$B$2:$B$1001,A240,Log!$C$2:$C$1001,"Received",Log!$A$2:$A$1001,"&gt;="&amp;N(U240))))</f>
        <v/>
      </c>
      <c r="G240" s="24" t="n"/>
      <c r="H240" s="24" t="n"/>
      <c r="I240" s="24" t="n"/>
      <c r="J240" s="24" t="n"/>
      <c r="K240" s="24" t="n"/>
      <c r="L240" s="34" t="n"/>
      <c r="M240" s="24" t="n"/>
      <c r="N240" s="24" t="n"/>
      <c r="O240" s="35" t="n"/>
      <c r="P240" s="25" t="n"/>
      <c r="Q240" s="36">
        <f>IF(A240="","",IF(P240&lt;&gt;"",P240,IFERROR(IF(N(INDEX(Suppliers!$E$5:$E$24,MATCH(H240,Suppliers!$B$5:$B$24,0)))&gt;0,INDEX(Suppliers!$E$5:$E$24,MATCH(H240,Suppliers!$B$5:$B$24,0)),5),5)))</f>
        <v/>
      </c>
      <c r="R240" s="35" t="n"/>
      <c r="S240" s="37" t="n"/>
      <c r="T240" s="25" t="n"/>
      <c r="U240" s="37" t="n"/>
      <c r="V240" s="37" t="n"/>
      <c r="W240" s="36">
        <f>IF(A240="","",ROUNDUP(N(O240)*(Q240/7+Settings!$C$5),0))</f>
        <v/>
      </c>
      <c r="X240" s="25" t="n"/>
      <c r="Y240" s="25" t="n"/>
      <c r="Z240" s="32">
        <f>IF(A240="","",IF(Y240&lt;&gt;"",Y240,MAX(1,ROUNDUP(N(O240)*Settings!$C$7,0))))</f>
        <v/>
      </c>
      <c r="AA240" s="38">
        <f>IF(A240="","",MAX(N(S240),_xlfn.MAXIFS(Log!$A$2:$A$1001,Log!$B$2:$B$1001,A240,Log!$C$2:$C$1001,"Count")))</f>
        <v/>
      </c>
      <c r="AB240" s="39">
        <f>IF(A240="","",Z240*N(L240))</f>
        <v/>
      </c>
      <c r="AC240" s="40">
        <f>IF(A240="","",N(O240)*52*N(L240))</f>
        <v/>
      </c>
      <c r="AD240" s="39">
        <f>IF(A240="","",C240*N(L240))</f>
        <v/>
      </c>
      <c r="AE240" s="41">
        <f>IF(A240="",0,IF(AND(OR(B240="Order now",B240="Critical"),F240=0),1,0))</f>
        <v/>
      </c>
      <c r="AF240" s="41">
        <f>IF(AE240=1,IFERROR(MATCH(H240,Suppliers!$B$5:$B$24,0),99)*1000+ROW(),"")</f>
        <v/>
      </c>
      <c r="AG240" s="41">
        <f>IF(AF240="","",COUNTIF('Stock list'!$AF$2:$AF$301,"&lt;"&amp;AF240)+1)</f>
        <v/>
      </c>
      <c r="AH240" s="41">
        <f>IF(A240="",0,IF(OR(AA240=0,AND(B240="OK",OR(C240&lt;=D240+N(O240)*Settings!$C$6,Settings!$C$10-AA240&gt;Settings!$C$8*7))),1,0))</f>
        <v/>
      </c>
      <c r="AI240" s="41">
        <f>IF(AH240=0,"",IF(AA240=0,"Never counted",IF(C240&lt;=D240+N(O240)*Settings!$C$6,"Near the reorder point","Not counted for "&amp;INT((Settings!$C$10-AA240)/7)&amp;" weeks")))</f>
        <v/>
      </c>
      <c r="AJ240" s="41">
        <f>IF(AH240=1,IFERROR(MATCH(M240,Settings!$G$19:$G$38,0),99)*1000+ROW(),"")</f>
        <v/>
      </c>
      <c r="AK240" s="41">
        <f>IF(AJ240="","",COUNTIF('Stock list'!$AJ$2:$AJ$301,"&lt;"&amp;AJ240)+1)</f>
        <v/>
      </c>
      <c r="AL240" s="41">
        <f>IF(OR(A240="",N(AC240)=0),"",AC240+ROW()/1000000)</f>
        <v/>
      </c>
    </row>
    <row r="241">
      <c r="A241" s="24" t="n"/>
      <c r="B241" s="30">
        <f>IF(A241="","",IF(AA241=0,"No count",IF(AND(N(O241)&gt;0,C241/O241*7&lt;Q241),"Critical",IF(F241&gt;0,"On order",IF(AND(D241&gt;0,C241&lt;=D241),"Order now","OK")))))</f>
        <v/>
      </c>
      <c r="C241" s="31">
        <f>IF(A241="","",MAX(0,IF(_xlfn.MAXIFS(Log!$A$2:$A$1001,Log!$B$2:$B$1001,A241,Log!$C$2:$C$1001,"Count")&gt;N(S241),_xlfn.MAXIFS(Log!$D$2:$D$1001,Log!$B$2:$B$1001,A241,Log!$C$2:$C$1001,"Count",Log!$A$2:$A$1001,AA241),N(R241))+SUMIFS(Log!$D$2:$D$1001,Log!$B$2:$B$1001,A241,Log!$C$2:$C$1001,"Received",Log!$A$2:$A$1001,"&gt;"&amp;AA241)-SUMIFS(Log!$D$2:$D$1001,Log!$B$2:$B$1001,A241,Log!$C$2:$C$1001,"Used",Log!$A$2:$A$1001,"&gt;"&amp;AA241)+SUMIFS(Log!$D$2:$D$1001,Log!$B$2:$B$1001,A241,Log!$C$2:$C$1001,"Adjustment",Log!$A$2:$A$1001,"&gt;"&amp;AA241)))</f>
        <v/>
      </c>
      <c r="D241" s="32">
        <f>IF(A241="","",IF(X241&lt;&gt;"",X241,W241))</f>
        <v/>
      </c>
      <c r="E241" s="33">
        <f>IF(OR(A241="",N(O241)=0),"",C241/O241)</f>
        <v/>
      </c>
      <c r="F241" s="31">
        <f>IF(A241="","",MAX(0,N(T241)-SUMIFS(Log!$D$2:$D$1001,Log!$B$2:$B$1001,A241,Log!$C$2:$C$1001,"Received",Log!$A$2:$A$1001,"&gt;="&amp;N(U241))))</f>
        <v/>
      </c>
      <c r="G241" s="24" t="n"/>
      <c r="H241" s="24" t="n"/>
      <c r="I241" s="24" t="n"/>
      <c r="J241" s="24" t="n"/>
      <c r="K241" s="24" t="n"/>
      <c r="L241" s="34" t="n"/>
      <c r="M241" s="24" t="n"/>
      <c r="N241" s="24" t="n"/>
      <c r="O241" s="35" t="n"/>
      <c r="P241" s="25" t="n"/>
      <c r="Q241" s="36">
        <f>IF(A241="","",IF(P241&lt;&gt;"",P241,IFERROR(IF(N(INDEX(Suppliers!$E$5:$E$24,MATCH(H241,Suppliers!$B$5:$B$24,0)))&gt;0,INDEX(Suppliers!$E$5:$E$24,MATCH(H241,Suppliers!$B$5:$B$24,0)),5),5)))</f>
        <v/>
      </c>
      <c r="R241" s="35" t="n"/>
      <c r="S241" s="37" t="n"/>
      <c r="T241" s="25" t="n"/>
      <c r="U241" s="37" t="n"/>
      <c r="V241" s="37" t="n"/>
      <c r="W241" s="36">
        <f>IF(A241="","",ROUNDUP(N(O241)*(Q241/7+Settings!$C$5),0))</f>
        <v/>
      </c>
      <c r="X241" s="25" t="n"/>
      <c r="Y241" s="25" t="n"/>
      <c r="Z241" s="32">
        <f>IF(A241="","",IF(Y241&lt;&gt;"",Y241,MAX(1,ROUNDUP(N(O241)*Settings!$C$7,0))))</f>
        <v/>
      </c>
      <c r="AA241" s="38">
        <f>IF(A241="","",MAX(N(S241),_xlfn.MAXIFS(Log!$A$2:$A$1001,Log!$B$2:$B$1001,A241,Log!$C$2:$C$1001,"Count")))</f>
        <v/>
      </c>
      <c r="AB241" s="39">
        <f>IF(A241="","",Z241*N(L241))</f>
        <v/>
      </c>
      <c r="AC241" s="40">
        <f>IF(A241="","",N(O241)*52*N(L241))</f>
        <v/>
      </c>
      <c r="AD241" s="39">
        <f>IF(A241="","",C241*N(L241))</f>
        <v/>
      </c>
      <c r="AE241" s="41">
        <f>IF(A241="",0,IF(AND(OR(B241="Order now",B241="Critical"),F241=0),1,0))</f>
        <v/>
      </c>
      <c r="AF241" s="41">
        <f>IF(AE241=1,IFERROR(MATCH(H241,Suppliers!$B$5:$B$24,0),99)*1000+ROW(),"")</f>
        <v/>
      </c>
      <c r="AG241" s="41">
        <f>IF(AF241="","",COUNTIF('Stock list'!$AF$2:$AF$301,"&lt;"&amp;AF241)+1)</f>
        <v/>
      </c>
      <c r="AH241" s="41">
        <f>IF(A241="",0,IF(OR(AA241=0,AND(B241="OK",OR(C241&lt;=D241+N(O241)*Settings!$C$6,Settings!$C$10-AA241&gt;Settings!$C$8*7))),1,0))</f>
        <v/>
      </c>
      <c r="AI241" s="41">
        <f>IF(AH241=0,"",IF(AA241=0,"Never counted",IF(C241&lt;=D241+N(O241)*Settings!$C$6,"Near the reorder point","Not counted for "&amp;INT((Settings!$C$10-AA241)/7)&amp;" weeks")))</f>
        <v/>
      </c>
      <c r="AJ241" s="41">
        <f>IF(AH241=1,IFERROR(MATCH(M241,Settings!$G$19:$G$38,0),99)*1000+ROW(),"")</f>
        <v/>
      </c>
      <c r="AK241" s="41">
        <f>IF(AJ241="","",COUNTIF('Stock list'!$AJ$2:$AJ$301,"&lt;"&amp;AJ241)+1)</f>
        <v/>
      </c>
      <c r="AL241" s="41">
        <f>IF(OR(A241="",N(AC241)=0),"",AC241+ROW()/1000000)</f>
        <v/>
      </c>
    </row>
    <row r="242">
      <c r="A242" s="24" t="n"/>
      <c r="B242" s="30">
        <f>IF(A242="","",IF(AA242=0,"No count",IF(AND(N(O242)&gt;0,C242/O242*7&lt;Q242),"Critical",IF(F242&gt;0,"On order",IF(AND(D242&gt;0,C242&lt;=D242),"Order now","OK")))))</f>
        <v/>
      </c>
      <c r="C242" s="31">
        <f>IF(A242="","",MAX(0,IF(_xlfn.MAXIFS(Log!$A$2:$A$1001,Log!$B$2:$B$1001,A242,Log!$C$2:$C$1001,"Count")&gt;N(S242),_xlfn.MAXIFS(Log!$D$2:$D$1001,Log!$B$2:$B$1001,A242,Log!$C$2:$C$1001,"Count",Log!$A$2:$A$1001,AA242),N(R242))+SUMIFS(Log!$D$2:$D$1001,Log!$B$2:$B$1001,A242,Log!$C$2:$C$1001,"Received",Log!$A$2:$A$1001,"&gt;"&amp;AA242)-SUMIFS(Log!$D$2:$D$1001,Log!$B$2:$B$1001,A242,Log!$C$2:$C$1001,"Used",Log!$A$2:$A$1001,"&gt;"&amp;AA242)+SUMIFS(Log!$D$2:$D$1001,Log!$B$2:$B$1001,A242,Log!$C$2:$C$1001,"Adjustment",Log!$A$2:$A$1001,"&gt;"&amp;AA242)))</f>
        <v/>
      </c>
      <c r="D242" s="32">
        <f>IF(A242="","",IF(X242&lt;&gt;"",X242,W242))</f>
        <v/>
      </c>
      <c r="E242" s="33">
        <f>IF(OR(A242="",N(O242)=0),"",C242/O242)</f>
        <v/>
      </c>
      <c r="F242" s="31">
        <f>IF(A242="","",MAX(0,N(T242)-SUMIFS(Log!$D$2:$D$1001,Log!$B$2:$B$1001,A242,Log!$C$2:$C$1001,"Received",Log!$A$2:$A$1001,"&gt;="&amp;N(U242))))</f>
        <v/>
      </c>
      <c r="G242" s="24" t="n"/>
      <c r="H242" s="24" t="n"/>
      <c r="I242" s="24" t="n"/>
      <c r="J242" s="24" t="n"/>
      <c r="K242" s="24" t="n"/>
      <c r="L242" s="34" t="n"/>
      <c r="M242" s="24" t="n"/>
      <c r="N242" s="24" t="n"/>
      <c r="O242" s="35" t="n"/>
      <c r="P242" s="25" t="n"/>
      <c r="Q242" s="36">
        <f>IF(A242="","",IF(P242&lt;&gt;"",P242,IFERROR(IF(N(INDEX(Suppliers!$E$5:$E$24,MATCH(H242,Suppliers!$B$5:$B$24,0)))&gt;0,INDEX(Suppliers!$E$5:$E$24,MATCH(H242,Suppliers!$B$5:$B$24,0)),5),5)))</f>
        <v/>
      </c>
      <c r="R242" s="35" t="n"/>
      <c r="S242" s="37" t="n"/>
      <c r="T242" s="25" t="n"/>
      <c r="U242" s="37" t="n"/>
      <c r="V242" s="37" t="n"/>
      <c r="W242" s="36">
        <f>IF(A242="","",ROUNDUP(N(O242)*(Q242/7+Settings!$C$5),0))</f>
        <v/>
      </c>
      <c r="X242" s="25" t="n"/>
      <c r="Y242" s="25" t="n"/>
      <c r="Z242" s="32">
        <f>IF(A242="","",IF(Y242&lt;&gt;"",Y242,MAX(1,ROUNDUP(N(O242)*Settings!$C$7,0))))</f>
        <v/>
      </c>
      <c r="AA242" s="38">
        <f>IF(A242="","",MAX(N(S242),_xlfn.MAXIFS(Log!$A$2:$A$1001,Log!$B$2:$B$1001,A242,Log!$C$2:$C$1001,"Count")))</f>
        <v/>
      </c>
      <c r="AB242" s="39">
        <f>IF(A242="","",Z242*N(L242))</f>
        <v/>
      </c>
      <c r="AC242" s="40">
        <f>IF(A242="","",N(O242)*52*N(L242))</f>
        <v/>
      </c>
      <c r="AD242" s="39">
        <f>IF(A242="","",C242*N(L242))</f>
        <v/>
      </c>
      <c r="AE242" s="41">
        <f>IF(A242="",0,IF(AND(OR(B242="Order now",B242="Critical"),F242=0),1,0))</f>
        <v/>
      </c>
      <c r="AF242" s="41">
        <f>IF(AE242=1,IFERROR(MATCH(H242,Suppliers!$B$5:$B$24,0),99)*1000+ROW(),"")</f>
        <v/>
      </c>
      <c r="AG242" s="41">
        <f>IF(AF242="","",COUNTIF('Stock list'!$AF$2:$AF$301,"&lt;"&amp;AF242)+1)</f>
        <v/>
      </c>
      <c r="AH242" s="41">
        <f>IF(A242="",0,IF(OR(AA242=0,AND(B242="OK",OR(C242&lt;=D242+N(O242)*Settings!$C$6,Settings!$C$10-AA242&gt;Settings!$C$8*7))),1,0))</f>
        <v/>
      </c>
      <c r="AI242" s="41">
        <f>IF(AH242=0,"",IF(AA242=0,"Never counted",IF(C242&lt;=D242+N(O242)*Settings!$C$6,"Near the reorder point","Not counted for "&amp;INT((Settings!$C$10-AA242)/7)&amp;" weeks")))</f>
        <v/>
      </c>
      <c r="AJ242" s="41">
        <f>IF(AH242=1,IFERROR(MATCH(M242,Settings!$G$19:$G$38,0),99)*1000+ROW(),"")</f>
        <v/>
      </c>
      <c r="AK242" s="41">
        <f>IF(AJ242="","",COUNTIF('Stock list'!$AJ$2:$AJ$301,"&lt;"&amp;AJ242)+1)</f>
        <v/>
      </c>
      <c r="AL242" s="41">
        <f>IF(OR(A242="",N(AC242)=0),"",AC242+ROW()/1000000)</f>
        <v/>
      </c>
    </row>
    <row r="243">
      <c r="A243" s="24" t="n"/>
      <c r="B243" s="30">
        <f>IF(A243="","",IF(AA243=0,"No count",IF(AND(N(O243)&gt;0,C243/O243*7&lt;Q243),"Critical",IF(F243&gt;0,"On order",IF(AND(D243&gt;0,C243&lt;=D243),"Order now","OK")))))</f>
        <v/>
      </c>
      <c r="C243" s="31">
        <f>IF(A243="","",MAX(0,IF(_xlfn.MAXIFS(Log!$A$2:$A$1001,Log!$B$2:$B$1001,A243,Log!$C$2:$C$1001,"Count")&gt;N(S243),_xlfn.MAXIFS(Log!$D$2:$D$1001,Log!$B$2:$B$1001,A243,Log!$C$2:$C$1001,"Count",Log!$A$2:$A$1001,AA243),N(R243))+SUMIFS(Log!$D$2:$D$1001,Log!$B$2:$B$1001,A243,Log!$C$2:$C$1001,"Received",Log!$A$2:$A$1001,"&gt;"&amp;AA243)-SUMIFS(Log!$D$2:$D$1001,Log!$B$2:$B$1001,A243,Log!$C$2:$C$1001,"Used",Log!$A$2:$A$1001,"&gt;"&amp;AA243)+SUMIFS(Log!$D$2:$D$1001,Log!$B$2:$B$1001,A243,Log!$C$2:$C$1001,"Adjustment",Log!$A$2:$A$1001,"&gt;"&amp;AA243)))</f>
        <v/>
      </c>
      <c r="D243" s="32">
        <f>IF(A243="","",IF(X243&lt;&gt;"",X243,W243))</f>
        <v/>
      </c>
      <c r="E243" s="33">
        <f>IF(OR(A243="",N(O243)=0),"",C243/O243)</f>
        <v/>
      </c>
      <c r="F243" s="31">
        <f>IF(A243="","",MAX(0,N(T243)-SUMIFS(Log!$D$2:$D$1001,Log!$B$2:$B$1001,A243,Log!$C$2:$C$1001,"Received",Log!$A$2:$A$1001,"&gt;="&amp;N(U243))))</f>
        <v/>
      </c>
      <c r="G243" s="24" t="n"/>
      <c r="H243" s="24" t="n"/>
      <c r="I243" s="24" t="n"/>
      <c r="J243" s="24" t="n"/>
      <c r="K243" s="24" t="n"/>
      <c r="L243" s="34" t="n"/>
      <c r="M243" s="24" t="n"/>
      <c r="N243" s="24" t="n"/>
      <c r="O243" s="35" t="n"/>
      <c r="P243" s="25" t="n"/>
      <c r="Q243" s="36">
        <f>IF(A243="","",IF(P243&lt;&gt;"",P243,IFERROR(IF(N(INDEX(Suppliers!$E$5:$E$24,MATCH(H243,Suppliers!$B$5:$B$24,0)))&gt;0,INDEX(Suppliers!$E$5:$E$24,MATCH(H243,Suppliers!$B$5:$B$24,0)),5),5)))</f>
        <v/>
      </c>
      <c r="R243" s="35" t="n"/>
      <c r="S243" s="37" t="n"/>
      <c r="T243" s="25" t="n"/>
      <c r="U243" s="37" t="n"/>
      <c r="V243" s="37" t="n"/>
      <c r="W243" s="36">
        <f>IF(A243="","",ROUNDUP(N(O243)*(Q243/7+Settings!$C$5),0))</f>
        <v/>
      </c>
      <c r="X243" s="25" t="n"/>
      <c r="Y243" s="25" t="n"/>
      <c r="Z243" s="32">
        <f>IF(A243="","",IF(Y243&lt;&gt;"",Y243,MAX(1,ROUNDUP(N(O243)*Settings!$C$7,0))))</f>
        <v/>
      </c>
      <c r="AA243" s="38">
        <f>IF(A243="","",MAX(N(S243),_xlfn.MAXIFS(Log!$A$2:$A$1001,Log!$B$2:$B$1001,A243,Log!$C$2:$C$1001,"Count")))</f>
        <v/>
      </c>
      <c r="AB243" s="39">
        <f>IF(A243="","",Z243*N(L243))</f>
        <v/>
      </c>
      <c r="AC243" s="40">
        <f>IF(A243="","",N(O243)*52*N(L243))</f>
        <v/>
      </c>
      <c r="AD243" s="39">
        <f>IF(A243="","",C243*N(L243))</f>
        <v/>
      </c>
      <c r="AE243" s="41">
        <f>IF(A243="",0,IF(AND(OR(B243="Order now",B243="Critical"),F243=0),1,0))</f>
        <v/>
      </c>
      <c r="AF243" s="41">
        <f>IF(AE243=1,IFERROR(MATCH(H243,Suppliers!$B$5:$B$24,0),99)*1000+ROW(),"")</f>
        <v/>
      </c>
      <c r="AG243" s="41">
        <f>IF(AF243="","",COUNTIF('Stock list'!$AF$2:$AF$301,"&lt;"&amp;AF243)+1)</f>
        <v/>
      </c>
      <c r="AH243" s="41">
        <f>IF(A243="",0,IF(OR(AA243=0,AND(B243="OK",OR(C243&lt;=D243+N(O243)*Settings!$C$6,Settings!$C$10-AA243&gt;Settings!$C$8*7))),1,0))</f>
        <v/>
      </c>
      <c r="AI243" s="41">
        <f>IF(AH243=0,"",IF(AA243=0,"Never counted",IF(C243&lt;=D243+N(O243)*Settings!$C$6,"Near the reorder point","Not counted for "&amp;INT((Settings!$C$10-AA243)/7)&amp;" weeks")))</f>
        <v/>
      </c>
      <c r="AJ243" s="41">
        <f>IF(AH243=1,IFERROR(MATCH(M243,Settings!$G$19:$G$38,0),99)*1000+ROW(),"")</f>
        <v/>
      </c>
      <c r="AK243" s="41">
        <f>IF(AJ243="","",COUNTIF('Stock list'!$AJ$2:$AJ$301,"&lt;"&amp;AJ243)+1)</f>
        <v/>
      </c>
      <c r="AL243" s="41">
        <f>IF(OR(A243="",N(AC243)=0),"",AC243+ROW()/1000000)</f>
        <v/>
      </c>
    </row>
    <row r="244">
      <c r="A244" s="24" t="n"/>
      <c r="B244" s="30">
        <f>IF(A244="","",IF(AA244=0,"No count",IF(AND(N(O244)&gt;0,C244/O244*7&lt;Q244),"Critical",IF(F244&gt;0,"On order",IF(AND(D244&gt;0,C244&lt;=D244),"Order now","OK")))))</f>
        <v/>
      </c>
      <c r="C244" s="31">
        <f>IF(A244="","",MAX(0,IF(_xlfn.MAXIFS(Log!$A$2:$A$1001,Log!$B$2:$B$1001,A244,Log!$C$2:$C$1001,"Count")&gt;N(S244),_xlfn.MAXIFS(Log!$D$2:$D$1001,Log!$B$2:$B$1001,A244,Log!$C$2:$C$1001,"Count",Log!$A$2:$A$1001,AA244),N(R244))+SUMIFS(Log!$D$2:$D$1001,Log!$B$2:$B$1001,A244,Log!$C$2:$C$1001,"Received",Log!$A$2:$A$1001,"&gt;"&amp;AA244)-SUMIFS(Log!$D$2:$D$1001,Log!$B$2:$B$1001,A244,Log!$C$2:$C$1001,"Used",Log!$A$2:$A$1001,"&gt;"&amp;AA244)+SUMIFS(Log!$D$2:$D$1001,Log!$B$2:$B$1001,A244,Log!$C$2:$C$1001,"Adjustment",Log!$A$2:$A$1001,"&gt;"&amp;AA244)))</f>
        <v/>
      </c>
      <c r="D244" s="32">
        <f>IF(A244="","",IF(X244&lt;&gt;"",X244,W244))</f>
        <v/>
      </c>
      <c r="E244" s="33">
        <f>IF(OR(A244="",N(O244)=0),"",C244/O244)</f>
        <v/>
      </c>
      <c r="F244" s="31">
        <f>IF(A244="","",MAX(0,N(T244)-SUMIFS(Log!$D$2:$D$1001,Log!$B$2:$B$1001,A244,Log!$C$2:$C$1001,"Received",Log!$A$2:$A$1001,"&gt;="&amp;N(U244))))</f>
        <v/>
      </c>
      <c r="G244" s="24" t="n"/>
      <c r="H244" s="24" t="n"/>
      <c r="I244" s="24" t="n"/>
      <c r="J244" s="24" t="n"/>
      <c r="K244" s="24" t="n"/>
      <c r="L244" s="34" t="n"/>
      <c r="M244" s="24" t="n"/>
      <c r="N244" s="24" t="n"/>
      <c r="O244" s="35" t="n"/>
      <c r="P244" s="25" t="n"/>
      <c r="Q244" s="36">
        <f>IF(A244="","",IF(P244&lt;&gt;"",P244,IFERROR(IF(N(INDEX(Suppliers!$E$5:$E$24,MATCH(H244,Suppliers!$B$5:$B$24,0)))&gt;0,INDEX(Suppliers!$E$5:$E$24,MATCH(H244,Suppliers!$B$5:$B$24,0)),5),5)))</f>
        <v/>
      </c>
      <c r="R244" s="35" t="n"/>
      <c r="S244" s="37" t="n"/>
      <c r="T244" s="25" t="n"/>
      <c r="U244" s="37" t="n"/>
      <c r="V244" s="37" t="n"/>
      <c r="W244" s="36">
        <f>IF(A244="","",ROUNDUP(N(O244)*(Q244/7+Settings!$C$5),0))</f>
        <v/>
      </c>
      <c r="X244" s="25" t="n"/>
      <c r="Y244" s="25" t="n"/>
      <c r="Z244" s="32">
        <f>IF(A244="","",IF(Y244&lt;&gt;"",Y244,MAX(1,ROUNDUP(N(O244)*Settings!$C$7,0))))</f>
        <v/>
      </c>
      <c r="AA244" s="38">
        <f>IF(A244="","",MAX(N(S244),_xlfn.MAXIFS(Log!$A$2:$A$1001,Log!$B$2:$B$1001,A244,Log!$C$2:$C$1001,"Count")))</f>
        <v/>
      </c>
      <c r="AB244" s="39">
        <f>IF(A244="","",Z244*N(L244))</f>
        <v/>
      </c>
      <c r="AC244" s="40">
        <f>IF(A244="","",N(O244)*52*N(L244))</f>
        <v/>
      </c>
      <c r="AD244" s="39">
        <f>IF(A244="","",C244*N(L244))</f>
        <v/>
      </c>
      <c r="AE244" s="41">
        <f>IF(A244="",0,IF(AND(OR(B244="Order now",B244="Critical"),F244=0),1,0))</f>
        <v/>
      </c>
      <c r="AF244" s="41">
        <f>IF(AE244=1,IFERROR(MATCH(H244,Suppliers!$B$5:$B$24,0),99)*1000+ROW(),"")</f>
        <v/>
      </c>
      <c r="AG244" s="41">
        <f>IF(AF244="","",COUNTIF('Stock list'!$AF$2:$AF$301,"&lt;"&amp;AF244)+1)</f>
        <v/>
      </c>
      <c r="AH244" s="41">
        <f>IF(A244="",0,IF(OR(AA244=0,AND(B244="OK",OR(C244&lt;=D244+N(O244)*Settings!$C$6,Settings!$C$10-AA244&gt;Settings!$C$8*7))),1,0))</f>
        <v/>
      </c>
      <c r="AI244" s="41">
        <f>IF(AH244=0,"",IF(AA244=0,"Never counted",IF(C244&lt;=D244+N(O244)*Settings!$C$6,"Near the reorder point","Not counted for "&amp;INT((Settings!$C$10-AA244)/7)&amp;" weeks")))</f>
        <v/>
      </c>
      <c r="AJ244" s="41">
        <f>IF(AH244=1,IFERROR(MATCH(M244,Settings!$G$19:$G$38,0),99)*1000+ROW(),"")</f>
        <v/>
      </c>
      <c r="AK244" s="41">
        <f>IF(AJ244="","",COUNTIF('Stock list'!$AJ$2:$AJ$301,"&lt;"&amp;AJ244)+1)</f>
        <v/>
      </c>
      <c r="AL244" s="41">
        <f>IF(OR(A244="",N(AC244)=0),"",AC244+ROW()/1000000)</f>
        <v/>
      </c>
    </row>
    <row r="245">
      <c r="A245" s="24" t="n"/>
      <c r="B245" s="30">
        <f>IF(A245="","",IF(AA245=0,"No count",IF(AND(N(O245)&gt;0,C245/O245*7&lt;Q245),"Critical",IF(F245&gt;0,"On order",IF(AND(D245&gt;0,C245&lt;=D245),"Order now","OK")))))</f>
        <v/>
      </c>
      <c r="C245" s="31">
        <f>IF(A245="","",MAX(0,IF(_xlfn.MAXIFS(Log!$A$2:$A$1001,Log!$B$2:$B$1001,A245,Log!$C$2:$C$1001,"Count")&gt;N(S245),_xlfn.MAXIFS(Log!$D$2:$D$1001,Log!$B$2:$B$1001,A245,Log!$C$2:$C$1001,"Count",Log!$A$2:$A$1001,AA245),N(R245))+SUMIFS(Log!$D$2:$D$1001,Log!$B$2:$B$1001,A245,Log!$C$2:$C$1001,"Received",Log!$A$2:$A$1001,"&gt;"&amp;AA245)-SUMIFS(Log!$D$2:$D$1001,Log!$B$2:$B$1001,A245,Log!$C$2:$C$1001,"Used",Log!$A$2:$A$1001,"&gt;"&amp;AA245)+SUMIFS(Log!$D$2:$D$1001,Log!$B$2:$B$1001,A245,Log!$C$2:$C$1001,"Adjustment",Log!$A$2:$A$1001,"&gt;"&amp;AA245)))</f>
        <v/>
      </c>
      <c r="D245" s="32">
        <f>IF(A245="","",IF(X245&lt;&gt;"",X245,W245))</f>
        <v/>
      </c>
      <c r="E245" s="33">
        <f>IF(OR(A245="",N(O245)=0),"",C245/O245)</f>
        <v/>
      </c>
      <c r="F245" s="31">
        <f>IF(A245="","",MAX(0,N(T245)-SUMIFS(Log!$D$2:$D$1001,Log!$B$2:$B$1001,A245,Log!$C$2:$C$1001,"Received",Log!$A$2:$A$1001,"&gt;="&amp;N(U245))))</f>
        <v/>
      </c>
      <c r="G245" s="24" t="n"/>
      <c r="H245" s="24" t="n"/>
      <c r="I245" s="24" t="n"/>
      <c r="J245" s="24" t="n"/>
      <c r="K245" s="24" t="n"/>
      <c r="L245" s="34" t="n"/>
      <c r="M245" s="24" t="n"/>
      <c r="N245" s="24" t="n"/>
      <c r="O245" s="35" t="n"/>
      <c r="P245" s="25" t="n"/>
      <c r="Q245" s="36">
        <f>IF(A245="","",IF(P245&lt;&gt;"",P245,IFERROR(IF(N(INDEX(Suppliers!$E$5:$E$24,MATCH(H245,Suppliers!$B$5:$B$24,0)))&gt;0,INDEX(Suppliers!$E$5:$E$24,MATCH(H245,Suppliers!$B$5:$B$24,0)),5),5)))</f>
        <v/>
      </c>
      <c r="R245" s="35" t="n"/>
      <c r="S245" s="37" t="n"/>
      <c r="T245" s="25" t="n"/>
      <c r="U245" s="37" t="n"/>
      <c r="V245" s="37" t="n"/>
      <c r="W245" s="36">
        <f>IF(A245="","",ROUNDUP(N(O245)*(Q245/7+Settings!$C$5),0))</f>
        <v/>
      </c>
      <c r="X245" s="25" t="n"/>
      <c r="Y245" s="25" t="n"/>
      <c r="Z245" s="32">
        <f>IF(A245="","",IF(Y245&lt;&gt;"",Y245,MAX(1,ROUNDUP(N(O245)*Settings!$C$7,0))))</f>
        <v/>
      </c>
      <c r="AA245" s="38">
        <f>IF(A245="","",MAX(N(S245),_xlfn.MAXIFS(Log!$A$2:$A$1001,Log!$B$2:$B$1001,A245,Log!$C$2:$C$1001,"Count")))</f>
        <v/>
      </c>
      <c r="AB245" s="39">
        <f>IF(A245="","",Z245*N(L245))</f>
        <v/>
      </c>
      <c r="AC245" s="40">
        <f>IF(A245="","",N(O245)*52*N(L245))</f>
        <v/>
      </c>
      <c r="AD245" s="39">
        <f>IF(A245="","",C245*N(L245))</f>
        <v/>
      </c>
      <c r="AE245" s="41">
        <f>IF(A245="",0,IF(AND(OR(B245="Order now",B245="Critical"),F245=0),1,0))</f>
        <v/>
      </c>
      <c r="AF245" s="41">
        <f>IF(AE245=1,IFERROR(MATCH(H245,Suppliers!$B$5:$B$24,0),99)*1000+ROW(),"")</f>
        <v/>
      </c>
      <c r="AG245" s="41">
        <f>IF(AF245="","",COUNTIF('Stock list'!$AF$2:$AF$301,"&lt;"&amp;AF245)+1)</f>
        <v/>
      </c>
      <c r="AH245" s="41">
        <f>IF(A245="",0,IF(OR(AA245=0,AND(B245="OK",OR(C245&lt;=D245+N(O245)*Settings!$C$6,Settings!$C$10-AA245&gt;Settings!$C$8*7))),1,0))</f>
        <v/>
      </c>
      <c r="AI245" s="41">
        <f>IF(AH245=0,"",IF(AA245=0,"Never counted",IF(C245&lt;=D245+N(O245)*Settings!$C$6,"Near the reorder point","Not counted for "&amp;INT((Settings!$C$10-AA245)/7)&amp;" weeks")))</f>
        <v/>
      </c>
      <c r="AJ245" s="41">
        <f>IF(AH245=1,IFERROR(MATCH(M245,Settings!$G$19:$G$38,0),99)*1000+ROW(),"")</f>
        <v/>
      </c>
      <c r="AK245" s="41">
        <f>IF(AJ245="","",COUNTIF('Stock list'!$AJ$2:$AJ$301,"&lt;"&amp;AJ245)+1)</f>
        <v/>
      </c>
      <c r="AL245" s="41">
        <f>IF(OR(A245="",N(AC245)=0),"",AC245+ROW()/1000000)</f>
        <v/>
      </c>
    </row>
    <row r="246">
      <c r="A246" s="24" t="n"/>
      <c r="B246" s="30">
        <f>IF(A246="","",IF(AA246=0,"No count",IF(AND(N(O246)&gt;0,C246/O246*7&lt;Q246),"Critical",IF(F246&gt;0,"On order",IF(AND(D246&gt;0,C246&lt;=D246),"Order now","OK")))))</f>
        <v/>
      </c>
      <c r="C246" s="31">
        <f>IF(A246="","",MAX(0,IF(_xlfn.MAXIFS(Log!$A$2:$A$1001,Log!$B$2:$B$1001,A246,Log!$C$2:$C$1001,"Count")&gt;N(S246),_xlfn.MAXIFS(Log!$D$2:$D$1001,Log!$B$2:$B$1001,A246,Log!$C$2:$C$1001,"Count",Log!$A$2:$A$1001,AA246),N(R246))+SUMIFS(Log!$D$2:$D$1001,Log!$B$2:$B$1001,A246,Log!$C$2:$C$1001,"Received",Log!$A$2:$A$1001,"&gt;"&amp;AA246)-SUMIFS(Log!$D$2:$D$1001,Log!$B$2:$B$1001,A246,Log!$C$2:$C$1001,"Used",Log!$A$2:$A$1001,"&gt;"&amp;AA246)+SUMIFS(Log!$D$2:$D$1001,Log!$B$2:$B$1001,A246,Log!$C$2:$C$1001,"Adjustment",Log!$A$2:$A$1001,"&gt;"&amp;AA246)))</f>
        <v/>
      </c>
      <c r="D246" s="32">
        <f>IF(A246="","",IF(X246&lt;&gt;"",X246,W246))</f>
        <v/>
      </c>
      <c r="E246" s="33">
        <f>IF(OR(A246="",N(O246)=0),"",C246/O246)</f>
        <v/>
      </c>
      <c r="F246" s="31">
        <f>IF(A246="","",MAX(0,N(T246)-SUMIFS(Log!$D$2:$D$1001,Log!$B$2:$B$1001,A246,Log!$C$2:$C$1001,"Received",Log!$A$2:$A$1001,"&gt;="&amp;N(U246))))</f>
        <v/>
      </c>
      <c r="G246" s="24" t="n"/>
      <c r="H246" s="24" t="n"/>
      <c r="I246" s="24" t="n"/>
      <c r="J246" s="24" t="n"/>
      <c r="K246" s="24" t="n"/>
      <c r="L246" s="34" t="n"/>
      <c r="M246" s="24" t="n"/>
      <c r="N246" s="24" t="n"/>
      <c r="O246" s="35" t="n"/>
      <c r="P246" s="25" t="n"/>
      <c r="Q246" s="36">
        <f>IF(A246="","",IF(P246&lt;&gt;"",P246,IFERROR(IF(N(INDEX(Suppliers!$E$5:$E$24,MATCH(H246,Suppliers!$B$5:$B$24,0)))&gt;0,INDEX(Suppliers!$E$5:$E$24,MATCH(H246,Suppliers!$B$5:$B$24,0)),5),5)))</f>
        <v/>
      </c>
      <c r="R246" s="35" t="n"/>
      <c r="S246" s="37" t="n"/>
      <c r="T246" s="25" t="n"/>
      <c r="U246" s="37" t="n"/>
      <c r="V246" s="37" t="n"/>
      <c r="W246" s="36">
        <f>IF(A246="","",ROUNDUP(N(O246)*(Q246/7+Settings!$C$5),0))</f>
        <v/>
      </c>
      <c r="X246" s="25" t="n"/>
      <c r="Y246" s="25" t="n"/>
      <c r="Z246" s="32">
        <f>IF(A246="","",IF(Y246&lt;&gt;"",Y246,MAX(1,ROUNDUP(N(O246)*Settings!$C$7,0))))</f>
        <v/>
      </c>
      <c r="AA246" s="38">
        <f>IF(A246="","",MAX(N(S246),_xlfn.MAXIFS(Log!$A$2:$A$1001,Log!$B$2:$B$1001,A246,Log!$C$2:$C$1001,"Count")))</f>
        <v/>
      </c>
      <c r="AB246" s="39">
        <f>IF(A246="","",Z246*N(L246))</f>
        <v/>
      </c>
      <c r="AC246" s="40">
        <f>IF(A246="","",N(O246)*52*N(L246))</f>
        <v/>
      </c>
      <c r="AD246" s="39">
        <f>IF(A246="","",C246*N(L246))</f>
        <v/>
      </c>
      <c r="AE246" s="41">
        <f>IF(A246="",0,IF(AND(OR(B246="Order now",B246="Critical"),F246=0),1,0))</f>
        <v/>
      </c>
      <c r="AF246" s="41">
        <f>IF(AE246=1,IFERROR(MATCH(H246,Suppliers!$B$5:$B$24,0),99)*1000+ROW(),"")</f>
        <v/>
      </c>
      <c r="AG246" s="41">
        <f>IF(AF246="","",COUNTIF('Stock list'!$AF$2:$AF$301,"&lt;"&amp;AF246)+1)</f>
        <v/>
      </c>
      <c r="AH246" s="41">
        <f>IF(A246="",0,IF(OR(AA246=0,AND(B246="OK",OR(C246&lt;=D246+N(O246)*Settings!$C$6,Settings!$C$10-AA246&gt;Settings!$C$8*7))),1,0))</f>
        <v/>
      </c>
      <c r="AI246" s="41">
        <f>IF(AH246=0,"",IF(AA246=0,"Never counted",IF(C246&lt;=D246+N(O246)*Settings!$C$6,"Near the reorder point","Not counted for "&amp;INT((Settings!$C$10-AA246)/7)&amp;" weeks")))</f>
        <v/>
      </c>
      <c r="AJ246" s="41">
        <f>IF(AH246=1,IFERROR(MATCH(M246,Settings!$G$19:$G$38,0),99)*1000+ROW(),"")</f>
        <v/>
      </c>
      <c r="AK246" s="41">
        <f>IF(AJ246="","",COUNTIF('Stock list'!$AJ$2:$AJ$301,"&lt;"&amp;AJ246)+1)</f>
        <v/>
      </c>
      <c r="AL246" s="41">
        <f>IF(OR(A246="",N(AC246)=0),"",AC246+ROW()/1000000)</f>
        <v/>
      </c>
    </row>
    <row r="247">
      <c r="A247" s="24" t="n"/>
      <c r="B247" s="30">
        <f>IF(A247="","",IF(AA247=0,"No count",IF(AND(N(O247)&gt;0,C247/O247*7&lt;Q247),"Critical",IF(F247&gt;0,"On order",IF(AND(D247&gt;0,C247&lt;=D247),"Order now","OK")))))</f>
        <v/>
      </c>
      <c r="C247" s="31">
        <f>IF(A247="","",MAX(0,IF(_xlfn.MAXIFS(Log!$A$2:$A$1001,Log!$B$2:$B$1001,A247,Log!$C$2:$C$1001,"Count")&gt;N(S247),_xlfn.MAXIFS(Log!$D$2:$D$1001,Log!$B$2:$B$1001,A247,Log!$C$2:$C$1001,"Count",Log!$A$2:$A$1001,AA247),N(R247))+SUMIFS(Log!$D$2:$D$1001,Log!$B$2:$B$1001,A247,Log!$C$2:$C$1001,"Received",Log!$A$2:$A$1001,"&gt;"&amp;AA247)-SUMIFS(Log!$D$2:$D$1001,Log!$B$2:$B$1001,A247,Log!$C$2:$C$1001,"Used",Log!$A$2:$A$1001,"&gt;"&amp;AA247)+SUMIFS(Log!$D$2:$D$1001,Log!$B$2:$B$1001,A247,Log!$C$2:$C$1001,"Adjustment",Log!$A$2:$A$1001,"&gt;"&amp;AA247)))</f>
        <v/>
      </c>
      <c r="D247" s="32">
        <f>IF(A247="","",IF(X247&lt;&gt;"",X247,W247))</f>
        <v/>
      </c>
      <c r="E247" s="33">
        <f>IF(OR(A247="",N(O247)=0),"",C247/O247)</f>
        <v/>
      </c>
      <c r="F247" s="31">
        <f>IF(A247="","",MAX(0,N(T247)-SUMIFS(Log!$D$2:$D$1001,Log!$B$2:$B$1001,A247,Log!$C$2:$C$1001,"Received",Log!$A$2:$A$1001,"&gt;="&amp;N(U247))))</f>
        <v/>
      </c>
      <c r="G247" s="24" t="n"/>
      <c r="H247" s="24" t="n"/>
      <c r="I247" s="24" t="n"/>
      <c r="J247" s="24" t="n"/>
      <c r="K247" s="24" t="n"/>
      <c r="L247" s="34" t="n"/>
      <c r="M247" s="24" t="n"/>
      <c r="N247" s="24" t="n"/>
      <c r="O247" s="35" t="n"/>
      <c r="P247" s="25" t="n"/>
      <c r="Q247" s="36">
        <f>IF(A247="","",IF(P247&lt;&gt;"",P247,IFERROR(IF(N(INDEX(Suppliers!$E$5:$E$24,MATCH(H247,Suppliers!$B$5:$B$24,0)))&gt;0,INDEX(Suppliers!$E$5:$E$24,MATCH(H247,Suppliers!$B$5:$B$24,0)),5),5)))</f>
        <v/>
      </c>
      <c r="R247" s="35" t="n"/>
      <c r="S247" s="37" t="n"/>
      <c r="T247" s="25" t="n"/>
      <c r="U247" s="37" t="n"/>
      <c r="V247" s="37" t="n"/>
      <c r="W247" s="36">
        <f>IF(A247="","",ROUNDUP(N(O247)*(Q247/7+Settings!$C$5),0))</f>
        <v/>
      </c>
      <c r="X247" s="25" t="n"/>
      <c r="Y247" s="25" t="n"/>
      <c r="Z247" s="32">
        <f>IF(A247="","",IF(Y247&lt;&gt;"",Y247,MAX(1,ROUNDUP(N(O247)*Settings!$C$7,0))))</f>
        <v/>
      </c>
      <c r="AA247" s="38">
        <f>IF(A247="","",MAX(N(S247),_xlfn.MAXIFS(Log!$A$2:$A$1001,Log!$B$2:$B$1001,A247,Log!$C$2:$C$1001,"Count")))</f>
        <v/>
      </c>
      <c r="AB247" s="39">
        <f>IF(A247="","",Z247*N(L247))</f>
        <v/>
      </c>
      <c r="AC247" s="40">
        <f>IF(A247="","",N(O247)*52*N(L247))</f>
        <v/>
      </c>
      <c r="AD247" s="39">
        <f>IF(A247="","",C247*N(L247))</f>
        <v/>
      </c>
      <c r="AE247" s="41">
        <f>IF(A247="",0,IF(AND(OR(B247="Order now",B247="Critical"),F247=0),1,0))</f>
        <v/>
      </c>
      <c r="AF247" s="41">
        <f>IF(AE247=1,IFERROR(MATCH(H247,Suppliers!$B$5:$B$24,0),99)*1000+ROW(),"")</f>
        <v/>
      </c>
      <c r="AG247" s="41">
        <f>IF(AF247="","",COUNTIF('Stock list'!$AF$2:$AF$301,"&lt;"&amp;AF247)+1)</f>
        <v/>
      </c>
      <c r="AH247" s="41">
        <f>IF(A247="",0,IF(OR(AA247=0,AND(B247="OK",OR(C247&lt;=D247+N(O247)*Settings!$C$6,Settings!$C$10-AA247&gt;Settings!$C$8*7))),1,0))</f>
        <v/>
      </c>
      <c r="AI247" s="41">
        <f>IF(AH247=0,"",IF(AA247=0,"Never counted",IF(C247&lt;=D247+N(O247)*Settings!$C$6,"Near the reorder point","Not counted for "&amp;INT((Settings!$C$10-AA247)/7)&amp;" weeks")))</f>
        <v/>
      </c>
      <c r="AJ247" s="41">
        <f>IF(AH247=1,IFERROR(MATCH(M247,Settings!$G$19:$G$38,0),99)*1000+ROW(),"")</f>
        <v/>
      </c>
      <c r="AK247" s="41">
        <f>IF(AJ247="","",COUNTIF('Stock list'!$AJ$2:$AJ$301,"&lt;"&amp;AJ247)+1)</f>
        <v/>
      </c>
      <c r="AL247" s="41">
        <f>IF(OR(A247="",N(AC247)=0),"",AC247+ROW()/1000000)</f>
        <v/>
      </c>
    </row>
    <row r="248">
      <c r="A248" s="24" t="n"/>
      <c r="B248" s="30">
        <f>IF(A248="","",IF(AA248=0,"No count",IF(AND(N(O248)&gt;0,C248/O248*7&lt;Q248),"Critical",IF(F248&gt;0,"On order",IF(AND(D248&gt;0,C248&lt;=D248),"Order now","OK")))))</f>
        <v/>
      </c>
      <c r="C248" s="31">
        <f>IF(A248="","",MAX(0,IF(_xlfn.MAXIFS(Log!$A$2:$A$1001,Log!$B$2:$B$1001,A248,Log!$C$2:$C$1001,"Count")&gt;N(S248),_xlfn.MAXIFS(Log!$D$2:$D$1001,Log!$B$2:$B$1001,A248,Log!$C$2:$C$1001,"Count",Log!$A$2:$A$1001,AA248),N(R248))+SUMIFS(Log!$D$2:$D$1001,Log!$B$2:$B$1001,A248,Log!$C$2:$C$1001,"Received",Log!$A$2:$A$1001,"&gt;"&amp;AA248)-SUMIFS(Log!$D$2:$D$1001,Log!$B$2:$B$1001,A248,Log!$C$2:$C$1001,"Used",Log!$A$2:$A$1001,"&gt;"&amp;AA248)+SUMIFS(Log!$D$2:$D$1001,Log!$B$2:$B$1001,A248,Log!$C$2:$C$1001,"Adjustment",Log!$A$2:$A$1001,"&gt;"&amp;AA248)))</f>
        <v/>
      </c>
      <c r="D248" s="32">
        <f>IF(A248="","",IF(X248&lt;&gt;"",X248,W248))</f>
        <v/>
      </c>
      <c r="E248" s="33">
        <f>IF(OR(A248="",N(O248)=0),"",C248/O248)</f>
        <v/>
      </c>
      <c r="F248" s="31">
        <f>IF(A248="","",MAX(0,N(T248)-SUMIFS(Log!$D$2:$D$1001,Log!$B$2:$B$1001,A248,Log!$C$2:$C$1001,"Received",Log!$A$2:$A$1001,"&gt;="&amp;N(U248))))</f>
        <v/>
      </c>
      <c r="G248" s="24" t="n"/>
      <c r="H248" s="24" t="n"/>
      <c r="I248" s="24" t="n"/>
      <c r="J248" s="24" t="n"/>
      <c r="K248" s="24" t="n"/>
      <c r="L248" s="34" t="n"/>
      <c r="M248" s="24" t="n"/>
      <c r="N248" s="24" t="n"/>
      <c r="O248" s="35" t="n"/>
      <c r="P248" s="25" t="n"/>
      <c r="Q248" s="36">
        <f>IF(A248="","",IF(P248&lt;&gt;"",P248,IFERROR(IF(N(INDEX(Suppliers!$E$5:$E$24,MATCH(H248,Suppliers!$B$5:$B$24,0)))&gt;0,INDEX(Suppliers!$E$5:$E$24,MATCH(H248,Suppliers!$B$5:$B$24,0)),5),5)))</f>
        <v/>
      </c>
      <c r="R248" s="35" t="n"/>
      <c r="S248" s="37" t="n"/>
      <c r="T248" s="25" t="n"/>
      <c r="U248" s="37" t="n"/>
      <c r="V248" s="37" t="n"/>
      <c r="W248" s="36">
        <f>IF(A248="","",ROUNDUP(N(O248)*(Q248/7+Settings!$C$5),0))</f>
        <v/>
      </c>
      <c r="X248" s="25" t="n"/>
      <c r="Y248" s="25" t="n"/>
      <c r="Z248" s="32">
        <f>IF(A248="","",IF(Y248&lt;&gt;"",Y248,MAX(1,ROUNDUP(N(O248)*Settings!$C$7,0))))</f>
        <v/>
      </c>
      <c r="AA248" s="38">
        <f>IF(A248="","",MAX(N(S248),_xlfn.MAXIFS(Log!$A$2:$A$1001,Log!$B$2:$B$1001,A248,Log!$C$2:$C$1001,"Count")))</f>
        <v/>
      </c>
      <c r="AB248" s="39">
        <f>IF(A248="","",Z248*N(L248))</f>
        <v/>
      </c>
      <c r="AC248" s="40">
        <f>IF(A248="","",N(O248)*52*N(L248))</f>
        <v/>
      </c>
      <c r="AD248" s="39">
        <f>IF(A248="","",C248*N(L248))</f>
        <v/>
      </c>
      <c r="AE248" s="41">
        <f>IF(A248="",0,IF(AND(OR(B248="Order now",B248="Critical"),F248=0),1,0))</f>
        <v/>
      </c>
      <c r="AF248" s="41">
        <f>IF(AE248=1,IFERROR(MATCH(H248,Suppliers!$B$5:$B$24,0),99)*1000+ROW(),"")</f>
        <v/>
      </c>
      <c r="AG248" s="41">
        <f>IF(AF248="","",COUNTIF('Stock list'!$AF$2:$AF$301,"&lt;"&amp;AF248)+1)</f>
        <v/>
      </c>
      <c r="AH248" s="41">
        <f>IF(A248="",0,IF(OR(AA248=0,AND(B248="OK",OR(C248&lt;=D248+N(O248)*Settings!$C$6,Settings!$C$10-AA248&gt;Settings!$C$8*7))),1,0))</f>
        <v/>
      </c>
      <c r="AI248" s="41">
        <f>IF(AH248=0,"",IF(AA248=0,"Never counted",IF(C248&lt;=D248+N(O248)*Settings!$C$6,"Near the reorder point","Not counted for "&amp;INT((Settings!$C$10-AA248)/7)&amp;" weeks")))</f>
        <v/>
      </c>
      <c r="AJ248" s="41">
        <f>IF(AH248=1,IFERROR(MATCH(M248,Settings!$G$19:$G$38,0),99)*1000+ROW(),"")</f>
        <v/>
      </c>
      <c r="AK248" s="41">
        <f>IF(AJ248="","",COUNTIF('Stock list'!$AJ$2:$AJ$301,"&lt;"&amp;AJ248)+1)</f>
        <v/>
      </c>
      <c r="AL248" s="41">
        <f>IF(OR(A248="",N(AC248)=0),"",AC248+ROW()/1000000)</f>
        <v/>
      </c>
    </row>
    <row r="249">
      <c r="A249" s="24" t="n"/>
      <c r="B249" s="30">
        <f>IF(A249="","",IF(AA249=0,"No count",IF(AND(N(O249)&gt;0,C249/O249*7&lt;Q249),"Critical",IF(F249&gt;0,"On order",IF(AND(D249&gt;0,C249&lt;=D249),"Order now","OK")))))</f>
        <v/>
      </c>
      <c r="C249" s="31">
        <f>IF(A249="","",MAX(0,IF(_xlfn.MAXIFS(Log!$A$2:$A$1001,Log!$B$2:$B$1001,A249,Log!$C$2:$C$1001,"Count")&gt;N(S249),_xlfn.MAXIFS(Log!$D$2:$D$1001,Log!$B$2:$B$1001,A249,Log!$C$2:$C$1001,"Count",Log!$A$2:$A$1001,AA249),N(R249))+SUMIFS(Log!$D$2:$D$1001,Log!$B$2:$B$1001,A249,Log!$C$2:$C$1001,"Received",Log!$A$2:$A$1001,"&gt;"&amp;AA249)-SUMIFS(Log!$D$2:$D$1001,Log!$B$2:$B$1001,A249,Log!$C$2:$C$1001,"Used",Log!$A$2:$A$1001,"&gt;"&amp;AA249)+SUMIFS(Log!$D$2:$D$1001,Log!$B$2:$B$1001,A249,Log!$C$2:$C$1001,"Adjustment",Log!$A$2:$A$1001,"&gt;"&amp;AA249)))</f>
        <v/>
      </c>
      <c r="D249" s="32">
        <f>IF(A249="","",IF(X249&lt;&gt;"",X249,W249))</f>
        <v/>
      </c>
      <c r="E249" s="33">
        <f>IF(OR(A249="",N(O249)=0),"",C249/O249)</f>
        <v/>
      </c>
      <c r="F249" s="31">
        <f>IF(A249="","",MAX(0,N(T249)-SUMIFS(Log!$D$2:$D$1001,Log!$B$2:$B$1001,A249,Log!$C$2:$C$1001,"Received",Log!$A$2:$A$1001,"&gt;="&amp;N(U249))))</f>
        <v/>
      </c>
      <c r="G249" s="24" t="n"/>
      <c r="H249" s="24" t="n"/>
      <c r="I249" s="24" t="n"/>
      <c r="J249" s="24" t="n"/>
      <c r="K249" s="24" t="n"/>
      <c r="L249" s="34" t="n"/>
      <c r="M249" s="24" t="n"/>
      <c r="N249" s="24" t="n"/>
      <c r="O249" s="35" t="n"/>
      <c r="P249" s="25" t="n"/>
      <c r="Q249" s="36">
        <f>IF(A249="","",IF(P249&lt;&gt;"",P249,IFERROR(IF(N(INDEX(Suppliers!$E$5:$E$24,MATCH(H249,Suppliers!$B$5:$B$24,0)))&gt;0,INDEX(Suppliers!$E$5:$E$24,MATCH(H249,Suppliers!$B$5:$B$24,0)),5),5)))</f>
        <v/>
      </c>
      <c r="R249" s="35" t="n"/>
      <c r="S249" s="37" t="n"/>
      <c r="T249" s="25" t="n"/>
      <c r="U249" s="37" t="n"/>
      <c r="V249" s="37" t="n"/>
      <c r="W249" s="36">
        <f>IF(A249="","",ROUNDUP(N(O249)*(Q249/7+Settings!$C$5),0))</f>
        <v/>
      </c>
      <c r="X249" s="25" t="n"/>
      <c r="Y249" s="25" t="n"/>
      <c r="Z249" s="32">
        <f>IF(A249="","",IF(Y249&lt;&gt;"",Y249,MAX(1,ROUNDUP(N(O249)*Settings!$C$7,0))))</f>
        <v/>
      </c>
      <c r="AA249" s="38">
        <f>IF(A249="","",MAX(N(S249),_xlfn.MAXIFS(Log!$A$2:$A$1001,Log!$B$2:$B$1001,A249,Log!$C$2:$C$1001,"Count")))</f>
        <v/>
      </c>
      <c r="AB249" s="39">
        <f>IF(A249="","",Z249*N(L249))</f>
        <v/>
      </c>
      <c r="AC249" s="40">
        <f>IF(A249="","",N(O249)*52*N(L249))</f>
        <v/>
      </c>
      <c r="AD249" s="39">
        <f>IF(A249="","",C249*N(L249))</f>
        <v/>
      </c>
      <c r="AE249" s="41">
        <f>IF(A249="",0,IF(AND(OR(B249="Order now",B249="Critical"),F249=0),1,0))</f>
        <v/>
      </c>
      <c r="AF249" s="41">
        <f>IF(AE249=1,IFERROR(MATCH(H249,Suppliers!$B$5:$B$24,0),99)*1000+ROW(),"")</f>
        <v/>
      </c>
      <c r="AG249" s="41">
        <f>IF(AF249="","",COUNTIF('Stock list'!$AF$2:$AF$301,"&lt;"&amp;AF249)+1)</f>
        <v/>
      </c>
      <c r="AH249" s="41">
        <f>IF(A249="",0,IF(OR(AA249=0,AND(B249="OK",OR(C249&lt;=D249+N(O249)*Settings!$C$6,Settings!$C$10-AA249&gt;Settings!$C$8*7))),1,0))</f>
        <v/>
      </c>
      <c r="AI249" s="41">
        <f>IF(AH249=0,"",IF(AA249=0,"Never counted",IF(C249&lt;=D249+N(O249)*Settings!$C$6,"Near the reorder point","Not counted for "&amp;INT((Settings!$C$10-AA249)/7)&amp;" weeks")))</f>
        <v/>
      </c>
      <c r="AJ249" s="41">
        <f>IF(AH249=1,IFERROR(MATCH(M249,Settings!$G$19:$G$38,0),99)*1000+ROW(),"")</f>
        <v/>
      </c>
      <c r="AK249" s="41">
        <f>IF(AJ249="","",COUNTIF('Stock list'!$AJ$2:$AJ$301,"&lt;"&amp;AJ249)+1)</f>
        <v/>
      </c>
      <c r="AL249" s="41">
        <f>IF(OR(A249="",N(AC249)=0),"",AC249+ROW()/1000000)</f>
        <v/>
      </c>
    </row>
    <row r="250">
      <c r="A250" s="24" t="n"/>
      <c r="B250" s="30">
        <f>IF(A250="","",IF(AA250=0,"No count",IF(AND(N(O250)&gt;0,C250/O250*7&lt;Q250),"Critical",IF(F250&gt;0,"On order",IF(AND(D250&gt;0,C250&lt;=D250),"Order now","OK")))))</f>
        <v/>
      </c>
      <c r="C250" s="31">
        <f>IF(A250="","",MAX(0,IF(_xlfn.MAXIFS(Log!$A$2:$A$1001,Log!$B$2:$B$1001,A250,Log!$C$2:$C$1001,"Count")&gt;N(S250),_xlfn.MAXIFS(Log!$D$2:$D$1001,Log!$B$2:$B$1001,A250,Log!$C$2:$C$1001,"Count",Log!$A$2:$A$1001,AA250),N(R250))+SUMIFS(Log!$D$2:$D$1001,Log!$B$2:$B$1001,A250,Log!$C$2:$C$1001,"Received",Log!$A$2:$A$1001,"&gt;"&amp;AA250)-SUMIFS(Log!$D$2:$D$1001,Log!$B$2:$B$1001,A250,Log!$C$2:$C$1001,"Used",Log!$A$2:$A$1001,"&gt;"&amp;AA250)+SUMIFS(Log!$D$2:$D$1001,Log!$B$2:$B$1001,A250,Log!$C$2:$C$1001,"Adjustment",Log!$A$2:$A$1001,"&gt;"&amp;AA250)))</f>
        <v/>
      </c>
      <c r="D250" s="32">
        <f>IF(A250="","",IF(X250&lt;&gt;"",X250,W250))</f>
        <v/>
      </c>
      <c r="E250" s="33">
        <f>IF(OR(A250="",N(O250)=0),"",C250/O250)</f>
        <v/>
      </c>
      <c r="F250" s="31">
        <f>IF(A250="","",MAX(0,N(T250)-SUMIFS(Log!$D$2:$D$1001,Log!$B$2:$B$1001,A250,Log!$C$2:$C$1001,"Received",Log!$A$2:$A$1001,"&gt;="&amp;N(U250))))</f>
        <v/>
      </c>
      <c r="G250" s="24" t="n"/>
      <c r="H250" s="24" t="n"/>
      <c r="I250" s="24" t="n"/>
      <c r="J250" s="24" t="n"/>
      <c r="K250" s="24" t="n"/>
      <c r="L250" s="34" t="n"/>
      <c r="M250" s="24" t="n"/>
      <c r="N250" s="24" t="n"/>
      <c r="O250" s="35" t="n"/>
      <c r="P250" s="25" t="n"/>
      <c r="Q250" s="36">
        <f>IF(A250="","",IF(P250&lt;&gt;"",P250,IFERROR(IF(N(INDEX(Suppliers!$E$5:$E$24,MATCH(H250,Suppliers!$B$5:$B$24,0)))&gt;0,INDEX(Suppliers!$E$5:$E$24,MATCH(H250,Suppliers!$B$5:$B$24,0)),5),5)))</f>
        <v/>
      </c>
      <c r="R250" s="35" t="n"/>
      <c r="S250" s="37" t="n"/>
      <c r="T250" s="25" t="n"/>
      <c r="U250" s="37" t="n"/>
      <c r="V250" s="37" t="n"/>
      <c r="W250" s="36">
        <f>IF(A250="","",ROUNDUP(N(O250)*(Q250/7+Settings!$C$5),0))</f>
        <v/>
      </c>
      <c r="X250" s="25" t="n"/>
      <c r="Y250" s="25" t="n"/>
      <c r="Z250" s="32">
        <f>IF(A250="","",IF(Y250&lt;&gt;"",Y250,MAX(1,ROUNDUP(N(O250)*Settings!$C$7,0))))</f>
        <v/>
      </c>
      <c r="AA250" s="38">
        <f>IF(A250="","",MAX(N(S250),_xlfn.MAXIFS(Log!$A$2:$A$1001,Log!$B$2:$B$1001,A250,Log!$C$2:$C$1001,"Count")))</f>
        <v/>
      </c>
      <c r="AB250" s="39">
        <f>IF(A250="","",Z250*N(L250))</f>
        <v/>
      </c>
      <c r="AC250" s="40">
        <f>IF(A250="","",N(O250)*52*N(L250))</f>
        <v/>
      </c>
      <c r="AD250" s="39">
        <f>IF(A250="","",C250*N(L250))</f>
        <v/>
      </c>
      <c r="AE250" s="41">
        <f>IF(A250="",0,IF(AND(OR(B250="Order now",B250="Critical"),F250=0),1,0))</f>
        <v/>
      </c>
      <c r="AF250" s="41">
        <f>IF(AE250=1,IFERROR(MATCH(H250,Suppliers!$B$5:$B$24,0),99)*1000+ROW(),"")</f>
        <v/>
      </c>
      <c r="AG250" s="41">
        <f>IF(AF250="","",COUNTIF('Stock list'!$AF$2:$AF$301,"&lt;"&amp;AF250)+1)</f>
        <v/>
      </c>
      <c r="AH250" s="41">
        <f>IF(A250="",0,IF(OR(AA250=0,AND(B250="OK",OR(C250&lt;=D250+N(O250)*Settings!$C$6,Settings!$C$10-AA250&gt;Settings!$C$8*7))),1,0))</f>
        <v/>
      </c>
      <c r="AI250" s="41">
        <f>IF(AH250=0,"",IF(AA250=0,"Never counted",IF(C250&lt;=D250+N(O250)*Settings!$C$6,"Near the reorder point","Not counted for "&amp;INT((Settings!$C$10-AA250)/7)&amp;" weeks")))</f>
        <v/>
      </c>
      <c r="AJ250" s="41">
        <f>IF(AH250=1,IFERROR(MATCH(M250,Settings!$G$19:$G$38,0),99)*1000+ROW(),"")</f>
        <v/>
      </c>
      <c r="AK250" s="41">
        <f>IF(AJ250="","",COUNTIF('Stock list'!$AJ$2:$AJ$301,"&lt;"&amp;AJ250)+1)</f>
        <v/>
      </c>
      <c r="AL250" s="41">
        <f>IF(OR(A250="",N(AC250)=0),"",AC250+ROW()/1000000)</f>
        <v/>
      </c>
    </row>
    <row r="251">
      <c r="A251" s="24" t="n"/>
      <c r="B251" s="30">
        <f>IF(A251="","",IF(AA251=0,"No count",IF(AND(N(O251)&gt;0,C251/O251*7&lt;Q251),"Critical",IF(F251&gt;0,"On order",IF(AND(D251&gt;0,C251&lt;=D251),"Order now","OK")))))</f>
        <v/>
      </c>
      <c r="C251" s="31">
        <f>IF(A251="","",MAX(0,IF(_xlfn.MAXIFS(Log!$A$2:$A$1001,Log!$B$2:$B$1001,A251,Log!$C$2:$C$1001,"Count")&gt;N(S251),_xlfn.MAXIFS(Log!$D$2:$D$1001,Log!$B$2:$B$1001,A251,Log!$C$2:$C$1001,"Count",Log!$A$2:$A$1001,AA251),N(R251))+SUMIFS(Log!$D$2:$D$1001,Log!$B$2:$B$1001,A251,Log!$C$2:$C$1001,"Received",Log!$A$2:$A$1001,"&gt;"&amp;AA251)-SUMIFS(Log!$D$2:$D$1001,Log!$B$2:$B$1001,A251,Log!$C$2:$C$1001,"Used",Log!$A$2:$A$1001,"&gt;"&amp;AA251)+SUMIFS(Log!$D$2:$D$1001,Log!$B$2:$B$1001,A251,Log!$C$2:$C$1001,"Adjustment",Log!$A$2:$A$1001,"&gt;"&amp;AA251)))</f>
        <v/>
      </c>
      <c r="D251" s="32">
        <f>IF(A251="","",IF(X251&lt;&gt;"",X251,W251))</f>
        <v/>
      </c>
      <c r="E251" s="33">
        <f>IF(OR(A251="",N(O251)=0),"",C251/O251)</f>
        <v/>
      </c>
      <c r="F251" s="31">
        <f>IF(A251="","",MAX(0,N(T251)-SUMIFS(Log!$D$2:$D$1001,Log!$B$2:$B$1001,A251,Log!$C$2:$C$1001,"Received",Log!$A$2:$A$1001,"&gt;="&amp;N(U251))))</f>
        <v/>
      </c>
      <c r="G251" s="24" t="n"/>
      <c r="H251" s="24" t="n"/>
      <c r="I251" s="24" t="n"/>
      <c r="J251" s="24" t="n"/>
      <c r="K251" s="24" t="n"/>
      <c r="L251" s="34" t="n"/>
      <c r="M251" s="24" t="n"/>
      <c r="N251" s="24" t="n"/>
      <c r="O251" s="35" t="n"/>
      <c r="P251" s="25" t="n"/>
      <c r="Q251" s="36">
        <f>IF(A251="","",IF(P251&lt;&gt;"",P251,IFERROR(IF(N(INDEX(Suppliers!$E$5:$E$24,MATCH(H251,Suppliers!$B$5:$B$24,0)))&gt;0,INDEX(Suppliers!$E$5:$E$24,MATCH(H251,Suppliers!$B$5:$B$24,0)),5),5)))</f>
        <v/>
      </c>
      <c r="R251" s="35" t="n"/>
      <c r="S251" s="37" t="n"/>
      <c r="T251" s="25" t="n"/>
      <c r="U251" s="37" t="n"/>
      <c r="V251" s="37" t="n"/>
      <c r="W251" s="36">
        <f>IF(A251="","",ROUNDUP(N(O251)*(Q251/7+Settings!$C$5),0))</f>
        <v/>
      </c>
      <c r="X251" s="25" t="n"/>
      <c r="Y251" s="25" t="n"/>
      <c r="Z251" s="32">
        <f>IF(A251="","",IF(Y251&lt;&gt;"",Y251,MAX(1,ROUNDUP(N(O251)*Settings!$C$7,0))))</f>
        <v/>
      </c>
      <c r="AA251" s="38">
        <f>IF(A251="","",MAX(N(S251),_xlfn.MAXIFS(Log!$A$2:$A$1001,Log!$B$2:$B$1001,A251,Log!$C$2:$C$1001,"Count")))</f>
        <v/>
      </c>
      <c r="AB251" s="39">
        <f>IF(A251="","",Z251*N(L251))</f>
        <v/>
      </c>
      <c r="AC251" s="40">
        <f>IF(A251="","",N(O251)*52*N(L251))</f>
        <v/>
      </c>
      <c r="AD251" s="39">
        <f>IF(A251="","",C251*N(L251))</f>
        <v/>
      </c>
      <c r="AE251" s="41">
        <f>IF(A251="",0,IF(AND(OR(B251="Order now",B251="Critical"),F251=0),1,0))</f>
        <v/>
      </c>
      <c r="AF251" s="41">
        <f>IF(AE251=1,IFERROR(MATCH(H251,Suppliers!$B$5:$B$24,0),99)*1000+ROW(),"")</f>
        <v/>
      </c>
      <c r="AG251" s="41">
        <f>IF(AF251="","",COUNTIF('Stock list'!$AF$2:$AF$301,"&lt;"&amp;AF251)+1)</f>
        <v/>
      </c>
      <c r="AH251" s="41">
        <f>IF(A251="",0,IF(OR(AA251=0,AND(B251="OK",OR(C251&lt;=D251+N(O251)*Settings!$C$6,Settings!$C$10-AA251&gt;Settings!$C$8*7))),1,0))</f>
        <v/>
      </c>
      <c r="AI251" s="41">
        <f>IF(AH251=0,"",IF(AA251=0,"Never counted",IF(C251&lt;=D251+N(O251)*Settings!$C$6,"Near the reorder point","Not counted for "&amp;INT((Settings!$C$10-AA251)/7)&amp;" weeks")))</f>
        <v/>
      </c>
      <c r="AJ251" s="41">
        <f>IF(AH251=1,IFERROR(MATCH(M251,Settings!$G$19:$G$38,0),99)*1000+ROW(),"")</f>
        <v/>
      </c>
      <c r="AK251" s="41">
        <f>IF(AJ251="","",COUNTIF('Stock list'!$AJ$2:$AJ$301,"&lt;"&amp;AJ251)+1)</f>
        <v/>
      </c>
      <c r="AL251" s="41">
        <f>IF(OR(A251="",N(AC251)=0),"",AC251+ROW()/1000000)</f>
        <v/>
      </c>
    </row>
    <row r="252">
      <c r="A252" s="24" t="n"/>
      <c r="B252" s="30">
        <f>IF(A252="","",IF(AA252=0,"No count",IF(AND(N(O252)&gt;0,C252/O252*7&lt;Q252),"Critical",IF(F252&gt;0,"On order",IF(AND(D252&gt;0,C252&lt;=D252),"Order now","OK")))))</f>
        <v/>
      </c>
      <c r="C252" s="31">
        <f>IF(A252="","",MAX(0,IF(_xlfn.MAXIFS(Log!$A$2:$A$1001,Log!$B$2:$B$1001,A252,Log!$C$2:$C$1001,"Count")&gt;N(S252),_xlfn.MAXIFS(Log!$D$2:$D$1001,Log!$B$2:$B$1001,A252,Log!$C$2:$C$1001,"Count",Log!$A$2:$A$1001,AA252),N(R252))+SUMIFS(Log!$D$2:$D$1001,Log!$B$2:$B$1001,A252,Log!$C$2:$C$1001,"Received",Log!$A$2:$A$1001,"&gt;"&amp;AA252)-SUMIFS(Log!$D$2:$D$1001,Log!$B$2:$B$1001,A252,Log!$C$2:$C$1001,"Used",Log!$A$2:$A$1001,"&gt;"&amp;AA252)+SUMIFS(Log!$D$2:$D$1001,Log!$B$2:$B$1001,A252,Log!$C$2:$C$1001,"Adjustment",Log!$A$2:$A$1001,"&gt;"&amp;AA252)))</f>
        <v/>
      </c>
      <c r="D252" s="32">
        <f>IF(A252="","",IF(X252&lt;&gt;"",X252,W252))</f>
        <v/>
      </c>
      <c r="E252" s="33">
        <f>IF(OR(A252="",N(O252)=0),"",C252/O252)</f>
        <v/>
      </c>
      <c r="F252" s="31">
        <f>IF(A252="","",MAX(0,N(T252)-SUMIFS(Log!$D$2:$D$1001,Log!$B$2:$B$1001,A252,Log!$C$2:$C$1001,"Received",Log!$A$2:$A$1001,"&gt;="&amp;N(U252))))</f>
        <v/>
      </c>
      <c r="G252" s="24" t="n"/>
      <c r="H252" s="24" t="n"/>
      <c r="I252" s="24" t="n"/>
      <c r="J252" s="24" t="n"/>
      <c r="K252" s="24" t="n"/>
      <c r="L252" s="34" t="n"/>
      <c r="M252" s="24" t="n"/>
      <c r="N252" s="24" t="n"/>
      <c r="O252" s="35" t="n"/>
      <c r="P252" s="25" t="n"/>
      <c r="Q252" s="36">
        <f>IF(A252="","",IF(P252&lt;&gt;"",P252,IFERROR(IF(N(INDEX(Suppliers!$E$5:$E$24,MATCH(H252,Suppliers!$B$5:$B$24,0)))&gt;0,INDEX(Suppliers!$E$5:$E$24,MATCH(H252,Suppliers!$B$5:$B$24,0)),5),5)))</f>
        <v/>
      </c>
      <c r="R252" s="35" t="n"/>
      <c r="S252" s="37" t="n"/>
      <c r="T252" s="25" t="n"/>
      <c r="U252" s="37" t="n"/>
      <c r="V252" s="37" t="n"/>
      <c r="W252" s="36">
        <f>IF(A252="","",ROUNDUP(N(O252)*(Q252/7+Settings!$C$5),0))</f>
        <v/>
      </c>
      <c r="X252" s="25" t="n"/>
      <c r="Y252" s="25" t="n"/>
      <c r="Z252" s="32">
        <f>IF(A252="","",IF(Y252&lt;&gt;"",Y252,MAX(1,ROUNDUP(N(O252)*Settings!$C$7,0))))</f>
        <v/>
      </c>
      <c r="AA252" s="38">
        <f>IF(A252="","",MAX(N(S252),_xlfn.MAXIFS(Log!$A$2:$A$1001,Log!$B$2:$B$1001,A252,Log!$C$2:$C$1001,"Count")))</f>
        <v/>
      </c>
      <c r="AB252" s="39">
        <f>IF(A252="","",Z252*N(L252))</f>
        <v/>
      </c>
      <c r="AC252" s="40">
        <f>IF(A252="","",N(O252)*52*N(L252))</f>
        <v/>
      </c>
      <c r="AD252" s="39">
        <f>IF(A252="","",C252*N(L252))</f>
        <v/>
      </c>
      <c r="AE252" s="41">
        <f>IF(A252="",0,IF(AND(OR(B252="Order now",B252="Critical"),F252=0),1,0))</f>
        <v/>
      </c>
      <c r="AF252" s="41">
        <f>IF(AE252=1,IFERROR(MATCH(H252,Suppliers!$B$5:$B$24,0),99)*1000+ROW(),"")</f>
        <v/>
      </c>
      <c r="AG252" s="41">
        <f>IF(AF252="","",COUNTIF('Stock list'!$AF$2:$AF$301,"&lt;"&amp;AF252)+1)</f>
        <v/>
      </c>
      <c r="AH252" s="41">
        <f>IF(A252="",0,IF(OR(AA252=0,AND(B252="OK",OR(C252&lt;=D252+N(O252)*Settings!$C$6,Settings!$C$10-AA252&gt;Settings!$C$8*7))),1,0))</f>
        <v/>
      </c>
      <c r="AI252" s="41">
        <f>IF(AH252=0,"",IF(AA252=0,"Never counted",IF(C252&lt;=D252+N(O252)*Settings!$C$6,"Near the reorder point","Not counted for "&amp;INT((Settings!$C$10-AA252)/7)&amp;" weeks")))</f>
        <v/>
      </c>
      <c r="AJ252" s="41">
        <f>IF(AH252=1,IFERROR(MATCH(M252,Settings!$G$19:$G$38,0),99)*1000+ROW(),"")</f>
        <v/>
      </c>
      <c r="AK252" s="41">
        <f>IF(AJ252="","",COUNTIF('Stock list'!$AJ$2:$AJ$301,"&lt;"&amp;AJ252)+1)</f>
        <v/>
      </c>
      <c r="AL252" s="41">
        <f>IF(OR(A252="",N(AC252)=0),"",AC252+ROW()/1000000)</f>
        <v/>
      </c>
    </row>
    <row r="253">
      <c r="A253" s="24" t="n"/>
      <c r="B253" s="30">
        <f>IF(A253="","",IF(AA253=0,"No count",IF(AND(N(O253)&gt;0,C253/O253*7&lt;Q253),"Critical",IF(F253&gt;0,"On order",IF(AND(D253&gt;0,C253&lt;=D253),"Order now","OK")))))</f>
        <v/>
      </c>
      <c r="C253" s="31">
        <f>IF(A253="","",MAX(0,IF(_xlfn.MAXIFS(Log!$A$2:$A$1001,Log!$B$2:$B$1001,A253,Log!$C$2:$C$1001,"Count")&gt;N(S253),_xlfn.MAXIFS(Log!$D$2:$D$1001,Log!$B$2:$B$1001,A253,Log!$C$2:$C$1001,"Count",Log!$A$2:$A$1001,AA253),N(R253))+SUMIFS(Log!$D$2:$D$1001,Log!$B$2:$B$1001,A253,Log!$C$2:$C$1001,"Received",Log!$A$2:$A$1001,"&gt;"&amp;AA253)-SUMIFS(Log!$D$2:$D$1001,Log!$B$2:$B$1001,A253,Log!$C$2:$C$1001,"Used",Log!$A$2:$A$1001,"&gt;"&amp;AA253)+SUMIFS(Log!$D$2:$D$1001,Log!$B$2:$B$1001,A253,Log!$C$2:$C$1001,"Adjustment",Log!$A$2:$A$1001,"&gt;"&amp;AA253)))</f>
        <v/>
      </c>
      <c r="D253" s="32">
        <f>IF(A253="","",IF(X253&lt;&gt;"",X253,W253))</f>
        <v/>
      </c>
      <c r="E253" s="33">
        <f>IF(OR(A253="",N(O253)=0),"",C253/O253)</f>
        <v/>
      </c>
      <c r="F253" s="31">
        <f>IF(A253="","",MAX(0,N(T253)-SUMIFS(Log!$D$2:$D$1001,Log!$B$2:$B$1001,A253,Log!$C$2:$C$1001,"Received",Log!$A$2:$A$1001,"&gt;="&amp;N(U253))))</f>
        <v/>
      </c>
      <c r="G253" s="24" t="n"/>
      <c r="H253" s="24" t="n"/>
      <c r="I253" s="24" t="n"/>
      <c r="J253" s="24" t="n"/>
      <c r="K253" s="24" t="n"/>
      <c r="L253" s="34" t="n"/>
      <c r="M253" s="24" t="n"/>
      <c r="N253" s="24" t="n"/>
      <c r="O253" s="35" t="n"/>
      <c r="P253" s="25" t="n"/>
      <c r="Q253" s="36">
        <f>IF(A253="","",IF(P253&lt;&gt;"",P253,IFERROR(IF(N(INDEX(Suppliers!$E$5:$E$24,MATCH(H253,Suppliers!$B$5:$B$24,0)))&gt;0,INDEX(Suppliers!$E$5:$E$24,MATCH(H253,Suppliers!$B$5:$B$24,0)),5),5)))</f>
        <v/>
      </c>
      <c r="R253" s="35" t="n"/>
      <c r="S253" s="37" t="n"/>
      <c r="T253" s="25" t="n"/>
      <c r="U253" s="37" t="n"/>
      <c r="V253" s="37" t="n"/>
      <c r="W253" s="36">
        <f>IF(A253="","",ROUNDUP(N(O253)*(Q253/7+Settings!$C$5),0))</f>
        <v/>
      </c>
      <c r="X253" s="25" t="n"/>
      <c r="Y253" s="25" t="n"/>
      <c r="Z253" s="32">
        <f>IF(A253="","",IF(Y253&lt;&gt;"",Y253,MAX(1,ROUNDUP(N(O253)*Settings!$C$7,0))))</f>
        <v/>
      </c>
      <c r="AA253" s="38">
        <f>IF(A253="","",MAX(N(S253),_xlfn.MAXIFS(Log!$A$2:$A$1001,Log!$B$2:$B$1001,A253,Log!$C$2:$C$1001,"Count")))</f>
        <v/>
      </c>
      <c r="AB253" s="39">
        <f>IF(A253="","",Z253*N(L253))</f>
        <v/>
      </c>
      <c r="AC253" s="40">
        <f>IF(A253="","",N(O253)*52*N(L253))</f>
        <v/>
      </c>
      <c r="AD253" s="39">
        <f>IF(A253="","",C253*N(L253))</f>
        <v/>
      </c>
      <c r="AE253" s="41">
        <f>IF(A253="",0,IF(AND(OR(B253="Order now",B253="Critical"),F253=0),1,0))</f>
        <v/>
      </c>
      <c r="AF253" s="41">
        <f>IF(AE253=1,IFERROR(MATCH(H253,Suppliers!$B$5:$B$24,0),99)*1000+ROW(),"")</f>
        <v/>
      </c>
      <c r="AG253" s="41">
        <f>IF(AF253="","",COUNTIF('Stock list'!$AF$2:$AF$301,"&lt;"&amp;AF253)+1)</f>
        <v/>
      </c>
      <c r="AH253" s="41">
        <f>IF(A253="",0,IF(OR(AA253=0,AND(B253="OK",OR(C253&lt;=D253+N(O253)*Settings!$C$6,Settings!$C$10-AA253&gt;Settings!$C$8*7))),1,0))</f>
        <v/>
      </c>
      <c r="AI253" s="41">
        <f>IF(AH253=0,"",IF(AA253=0,"Never counted",IF(C253&lt;=D253+N(O253)*Settings!$C$6,"Near the reorder point","Not counted for "&amp;INT((Settings!$C$10-AA253)/7)&amp;" weeks")))</f>
        <v/>
      </c>
      <c r="AJ253" s="41">
        <f>IF(AH253=1,IFERROR(MATCH(M253,Settings!$G$19:$G$38,0),99)*1000+ROW(),"")</f>
        <v/>
      </c>
      <c r="AK253" s="41">
        <f>IF(AJ253="","",COUNTIF('Stock list'!$AJ$2:$AJ$301,"&lt;"&amp;AJ253)+1)</f>
        <v/>
      </c>
      <c r="AL253" s="41">
        <f>IF(OR(A253="",N(AC253)=0),"",AC253+ROW()/1000000)</f>
        <v/>
      </c>
    </row>
    <row r="254">
      <c r="A254" s="24" t="n"/>
      <c r="B254" s="30">
        <f>IF(A254="","",IF(AA254=0,"No count",IF(AND(N(O254)&gt;0,C254/O254*7&lt;Q254),"Critical",IF(F254&gt;0,"On order",IF(AND(D254&gt;0,C254&lt;=D254),"Order now","OK")))))</f>
        <v/>
      </c>
      <c r="C254" s="31">
        <f>IF(A254="","",MAX(0,IF(_xlfn.MAXIFS(Log!$A$2:$A$1001,Log!$B$2:$B$1001,A254,Log!$C$2:$C$1001,"Count")&gt;N(S254),_xlfn.MAXIFS(Log!$D$2:$D$1001,Log!$B$2:$B$1001,A254,Log!$C$2:$C$1001,"Count",Log!$A$2:$A$1001,AA254),N(R254))+SUMIFS(Log!$D$2:$D$1001,Log!$B$2:$B$1001,A254,Log!$C$2:$C$1001,"Received",Log!$A$2:$A$1001,"&gt;"&amp;AA254)-SUMIFS(Log!$D$2:$D$1001,Log!$B$2:$B$1001,A254,Log!$C$2:$C$1001,"Used",Log!$A$2:$A$1001,"&gt;"&amp;AA254)+SUMIFS(Log!$D$2:$D$1001,Log!$B$2:$B$1001,A254,Log!$C$2:$C$1001,"Adjustment",Log!$A$2:$A$1001,"&gt;"&amp;AA254)))</f>
        <v/>
      </c>
      <c r="D254" s="32">
        <f>IF(A254="","",IF(X254&lt;&gt;"",X254,W254))</f>
        <v/>
      </c>
      <c r="E254" s="33">
        <f>IF(OR(A254="",N(O254)=0),"",C254/O254)</f>
        <v/>
      </c>
      <c r="F254" s="31">
        <f>IF(A254="","",MAX(0,N(T254)-SUMIFS(Log!$D$2:$D$1001,Log!$B$2:$B$1001,A254,Log!$C$2:$C$1001,"Received",Log!$A$2:$A$1001,"&gt;="&amp;N(U254))))</f>
        <v/>
      </c>
      <c r="G254" s="24" t="n"/>
      <c r="H254" s="24" t="n"/>
      <c r="I254" s="24" t="n"/>
      <c r="J254" s="24" t="n"/>
      <c r="K254" s="24" t="n"/>
      <c r="L254" s="34" t="n"/>
      <c r="M254" s="24" t="n"/>
      <c r="N254" s="24" t="n"/>
      <c r="O254" s="35" t="n"/>
      <c r="P254" s="25" t="n"/>
      <c r="Q254" s="36">
        <f>IF(A254="","",IF(P254&lt;&gt;"",P254,IFERROR(IF(N(INDEX(Suppliers!$E$5:$E$24,MATCH(H254,Suppliers!$B$5:$B$24,0)))&gt;0,INDEX(Suppliers!$E$5:$E$24,MATCH(H254,Suppliers!$B$5:$B$24,0)),5),5)))</f>
        <v/>
      </c>
      <c r="R254" s="35" t="n"/>
      <c r="S254" s="37" t="n"/>
      <c r="T254" s="25" t="n"/>
      <c r="U254" s="37" t="n"/>
      <c r="V254" s="37" t="n"/>
      <c r="W254" s="36">
        <f>IF(A254="","",ROUNDUP(N(O254)*(Q254/7+Settings!$C$5),0))</f>
        <v/>
      </c>
      <c r="X254" s="25" t="n"/>
      <c r="Y254" s="25" t="n"/>
      <c r="Z254" s="32">
        <f>IF(A254="","",IF(Y254&lt;&gt;"",Y254,MAX(1,ROUNDUP(N(O254)*Settings!$C$7,0))))</f>
        <v/>
      </c>
      <c r="AA254" s="38">
        <f>IF(A254="","",MAX(N(S254),_xlfn.MAXIFS(Log!$A$2:$A$1001,Log!$B$2:$B$1001,A254,Log!$C$2:$C$1001,"Count")))</f>
        <v/>
      </c>
      <c r="AB254" s="39">
        <f>IF(A254="","",Z254*N(L254))</f>
        <v/>
      </c>
      <c r="AC254" s="40">
        <f>IF(A254="","",N(O254)*52*N(L254))</f>
        <v/>
      </c>
      <c r="AD254" s="39">
        <f>IF(A254="","",C254*N(L254))</f>
        <v/>
      </c>
      <c r="AE254" s="41">
        <f>IF(A254="",0,IF(AND(OR(B254="Order now",B254="Critical"),F254=0),1,0))</f>
        <v/>
      </c>
      <c r="AF254" s="41">
        <f>IF(AE254=1,IFERROR(MATCH(H254,Suppliers!$B$5:$B$24,0),99)*1000+ROW(),"")</f>
        <v/>
      </c>
      <c r="AG254" s="41">
        <f>IF(AF254="","",COUNTIF('Stock list'!$AF$2:$AF$301,"&lt;"&amp;AF254)+1)</f>
        <v/>
      </c>
      <c r="AH254" s="41">
        <f>IF(A254="",0,IF(OR(AA254=0,AND(B254="OK",OR(C254&lt;=D254+N(O254)*Settings!$C$6,Settings!$C$10-AA254&gt;Settings!$C$8*7))),1,0))</f>
        <v/>
      </c>
      <c r="AI254" s="41">
        <f>IF(AH254=0,"",IF(AA254=0,"Never counted",IF(C254&lt;=D254+N(O254)*Settings!$C$6,"Near the reorder point","Not counted for "&amp;INT((Settings!$C$10-AA254)/7)&amp;" weeks")))</f>
        <v/>
      </c>
      <c r="AJ254" s="41">
        <f>IF(AH254=1,IFERROR(MATCH(M254,Settings!$G$19:$G$38,0),99)*1000+ROW(),"")</f>
        <v/>
      </c>
      <c r="AK254" s="41">
        <f>IF(AJ254="","",COUNTIF('Stock list'!$AJ$2:$AJ$301,"&lt;"&amp;AJ254)+1)</f>
        <v/>
      </c>
      <c r="AL254" s="41">
        <f>IF(OR(A254="",N(AC254)=0),"",AC254+ROW()/1000000)</f>
        <v/>
      </c>
    </row>
    <row r="255">
      <c r="A255" s="24" t="n"/>
      <c r="B255" s="30">
        <f>IF(A255="","",IF(AA255=0,"No count",IF(AND(N(O255)&gt;0,C255/O255*7&lt;Q255),"Critical",IF(F255&gt;0,"On order",IF(AND(D255&gt;0,C255&lt;=D255),"Order now","OK")))))</f>
        <v/>
      </c>
      <c r="C255" s="31">
        <f>IF(A255="","",MAX(0,IF(_xlfn.MAXIFS(Log!$A$2:$A$1001,Log!$B$2:$B$1001,A255,Log!$C$2:$C$1001,"Count")&gt;N(S255),_xlfn.MAXIFS(Log!$D$2:$D$1001,Log!$B$2:$B$1001,A255,Log!$C$2:$C$1001,"Count",Log!$A$2:$A$1001,AA255),N(R255))+SUMIFS(Log!$D$2:$D$1001,Log!$B$2:$B$1001,A255,Log!$C$2:$C$1001,"Received",Log!$A$2:$A$1001,"&gt;"&amp;AA255)-SUMIFS(Log!$D$2:$D$1001,Log!$B$2:$B$1001,A255,Log!$C$2:$C$1001,"Used",Log!$A$2:$A$1001,"&gt;"&amp;AA255)+SUMIFS(Log!$D$2:$D$1001,Log!$B$2:$B$1001,A255,Log!$C$2:$C$1001,"Adjustment",Log!$A$2:$A$1001,"&gt;"&amp;AA255)))</f>
        <v/>
      </c>
      <c r="D255" s="32">
        <f>IF(A255="","",IF(X255&lt;&gt;"",X255,W255))</f>
        <v/>
      </c>
      <c r="E255" s="33">
        <f>IF(OR(A255="",N(O255)=0),"",C255/O255)</f>
        <v/>
      </c>
      <c r="F255" s="31">
        <f>IF(A255="","",MAX(0,N(T255)-SUMIFS(Log!$D$2:$D$1001,Log!$B$2:$B$1001,A255,Log!$C$2:$C$1001,"Received",Log!$A$2:$A$1001,"&gt;="&amp;N(U255))))</f>
        <v/>
      </c>
      <c r="G255" s="24" t="n"/>
      <c r="H255" s="24" t="n"/>
      <c r="I255" s="24" t="n"/>
      <c r="J255" s="24" t="n"/>
      <c r="K255" s="24" t="n"/>
      <c r="L255" s="34" t="n"/>
      <c r="M255" s="24" t="n"/>
      <c r="N255" s="24" t="n"/>
      <c r="O255" s="35" t="n"/>
      <c r="P255" s="25" t="n"/>
      <c r="Q255" s="36">
        <f>IF(A255="","",IF(P255&lt;&gt;"",P255,IFERROR(IF(N(INDEX(Suppliers!$E$5:$E$24,MATCH(H255,Suppliers!$B$5:$B$24,0)))&gt;0,INDEX(Suppliers!$E$5:$E$24,MATCH(H255,Suppliers!$B$5:$B$24,0)),5),5)))</f>
        <v/>
      </c>
      <c r="R255" s="35" t="n"/>
      <c r="S255" s="37" t="n"/>
      <c r="T255" s="25" t="n"/>
      <c r="U255" s="37" t="n"/>
      <c r="V255" s="37" t="n"/>
      <c r="W255" s="36">
        <f>IF(A255="","",ROUNDUP(N(O255)*(Q255/7+Settings!$C$5),0))</f>
        <v/>
      </c>
      <c r="X255" s="25" t="n"/>
      <c r="Y255" s="25" t="n"/>
      <c r="Z255" s="32">
        <f>IF(A255="","",IF(Y255&lt;&gt;"",Y255,MAX(1,ROUNDUP(N(O255)*Settings!$C$7,0))))</f>
        <v/>
      </c>
      <c r="AA255" s="38">
        <f>IF(A255="","",MAX(N(S255),_xlfn.MAXIFS(Log!$A$2:$A$1001,Log!$B$2:$B$1001,A255,Log!$C$2:$C$1001,"Count")))</f>
        <v/>
      </c>
      <c r="AB255" s="39">
        <f>IF(A255="","",Z255*N(L255))</f>
        <v/>
      </c>
      <c r="AC255" s="40">
        <f>IF(A255="","",N(O255)*52*N(L255))</f>
        <v/>
      </c>
      <c r="AD255" s="39">
        <f>IF(A255="","",C255*N(L255))</f>
        <v/>
      </c>
      <c r="AE255" s="41">
        <f>IF(A255="",0,IF(AND(OR(B255="Order now",B255="Critical"),F255=0),1,0))</f>
        <v/>
      </c>
      <c r="AF255" s="41">
        <f>IF(AE255=1,IFERROR(MATCH(H255,Suppliers!$B$5:$B$24,0),99)*1000+ROW(),"")</f>
        <v/>
      </c>
      <c r="AG255" s="41">
        <f>IF(AF255="","",COUNTIF('Stock list'!$AF$2:$AF$301,"&lt;"&amp;AF255)+1)</f>
        <v/>
      </c>
      <c r="AH255" s="41">
        <f>IF(A255="",0,IF(OR(AA255=0,AND(B255="OK",OR(C255&lt;=D255+N(O255)*Settings!$C$6,Settings!$C$10-AA255&gt;Settings!$C$8*7))),1,0))</f>
        <v/>
      </c>
      <c r="AI255" s="41">
        <f>IF(AH255=0,"",IF(AA255=0,"Never counted",IF(C255&lt;=D255+N(O255)*Settings!$C$6,"Near the reorder point","Not counted for "&amp;INT((Settings!$C$10-AA255)/7)&amp;" weeks")))</f>
        <v/>
      </c>
      <c r="AJ255" s="41">
        <f>IF(AH255=1,IFERROR(MATCH(M255,Settings!$G$19:$G$38,0),99)*1000+ROW(),"")</f>
        <v/>
      </c>
      <c r="AK255" s="41">
        <f>IF(AJ255="","",COUNTIF('Stock list'!$AJ$2:$AJ$301,"&lt;"&amp;AJ255)+1)</f>
        <v/>
      </c>
      <c r="AL255" s="41">
        <f>IF(OR(A255="",N(AC255)=0),"",AC255+ROW()/1000000)</f>
        <v/>
      </c>
    </row>
    <row r="256">
      <c r="A256" s="24" t="n"/>
      <c r="B256" s="30">
        <f>IF(A256="","",IF(AA256=0,"No count",IF(AND(N(O256)&gt;0,C256/O256*7&lt;Q256),"Critical",IF(F256&gt;0,"On order",IF(AND(D256&gt;0,C256&lt;=D256),"Order now","OK")))))</f>
        <v/>
      </c>
      <c r="C256" s="31">
        <f>IF(A256="","",MAX(0,IF(_xlfn.MAXIFS(Log!$A$2:$A$1001,Log!$B$2:$B$1001,A256,Log!$C$2:$C$1001,"Count")&gt;N(S256),_xlfn.MAXIFS(Log!$D$2:$D$1001,Log!$B$2:$B$1001,A256,Log!$C$2:$C$1001,"Count",Log!$A$2:$A$1001,AA256),N(R256))+SUMIFS(Log!$D$2:$D$1001,Log!$B$2:$B$1001,A256,Log!$C$2:$C$1001,"Received",Log!$A$2:$A$1001,"&gt;"&amp;AA256)-SUMIFS(Log!$D$2:$D$1001,Log!$B$2:$B$1001,A256,Log!$C$2:$C$1001,"Used",Log!$A$2:$A$1001,"&gt;"&amp;AA256)+SUMIFS(Log!$D$2:$D$1001,Log!$B$2:$B$1001,A256,Log!$C$2:$C$1001,"Adjustment",Log!$A$2:$A$1001,"&gt;"&amp;AA256)))</f>
        <v/>
      </c>
      <c r="D256" s="32">
        <f>IF(A256="","",IF(X256&lt;&gt;"",X256,W256))</f>
        <v/>
      </c>
      <c r="E256" s="33">
        <f>IF(OR(A256="",N(O256)=0),"",C256/O256)</f>
        <v/>
      </c>
      <c r="F256" s="31">
        <f>IF(A256="","",MAX(0,N(T256)-SUMIFS(Log!$D$2:$D$1001,Log!$B$2:$B$1001,A256,Log!$C$2:$C$1001,"Received",Log!$A$2:$A$1001,"&gt;="&amp;N(U256))))</f>
        <v/>
      </c>
      <c r="G256" s="24" t="n"/>
      <c r="H256" s="24" t="n"/>
      <c r="I256" s="24" t="n"/>
      <c r="J256" s="24" t="n"/>
      <c r="K256" s="24" t="n"/>
      <c r="L256" s="34" t="n"/>
      <c r="M256" s="24" t="n"/>
      <c r="N256" s="24" t="n"/>
      <c r="O256" s="35" t="n"/>
      <c r="P256" s="25" t="n"/>
      <c r="Q256" s="36">
        <f>IF(A256="","",IF(P256&lt;&gt;"",P256,IFERROR(IF(N(INDEX(Suppliers!$E$5:$E$24,MATCH(H256,Suppliers!$B$5:$B$24,0)))&gt;0,INDEX(Suppliers!$E$5:$E$24,MATCH(H256,Suppliers!$B$5:$B$24,0)),5),5)))</f>
        <v/>
      </c>
      <c r="R256" s="35" t="n"/>
      <c r="S256" s="37" t="n"/>
      <c r="T256" s="25" t="n"/>
      <c r="U256" s="37" t="n"/>
      <c r="V256" s="37" t="n"/>
      <c r="W256" s="36">
        <f>IF(A256="","",ROUNDUP(N(O256)*(Q256/7+Settings!$C$5),0))</f>
        <v/>
      </c>
      <c r="X256" s="25" t="n"/>
      <c r="Y256" s="25" t="n"/>
      <c r="Z256" s="32">
        <f>IF(A256="","",IF(Y256&lt;&gt;"",Y256,MAX(1,ROUNDUP(N(O256)*Settings!$C$7,0))))</f>
        <v/>
      </c>
      <c r="AA256" s="38">
        <f>IF(A256="","",MAX(N(S256),_xlfn.MAXIFS(Log!$A$2:$A$1001,Log!$B$2:$B$1001,A256,Log!$C$2:$C$1001,"Count")))</f>
        <v/>
      </c>
      <c r="AB256" s="39">
        <f>IF(A256="","",Z256*N(L256))</f>
        <v/>
      </c>
      <c r="AC256" s="40">
        <f>IF(A256="","",N(O256)*52*N(L256))</f>
        <v/>
      </c>
      <c r="AD256" s="39">
        <f>IF(A256="","",C256*N(L256))</f>
        <v/>
      </c>
      <c r="AE256" s="41">
        <f>IF(A256="",0,IF(AND(OR(B256="Order now",B256="Critical"),F256=0),1,0))</f>
        <v/>
      </c>
      <c r="AF256" s="41">
        <f>IF(AE256=1,IFERROR(MATCH(H256,Suppliers!$B$5:$B$24,0),99)*1000+ROW(),"")</f>
        <v/>
      </c>
      <c r="AG256" s="41">
        <f>IF(AF256="","",COUNTIF('Stock list'!$AF$2:$AF$301,"&lt;"&amp;AF256)+1)</f>
        <v/>
      </c>
      <c r="AH256" s="41">
        <f>IF(A256="",0,IF(OR(AA256=0,AND(B256="OK",OR(C256&lt;=D256+N(O256)*Settings!$C$6,Settings!$C$10-AA256&gt;Settings!$C$8*7))),1,0))</f>
        <v/>
      </c>
      <c r="AI256" s="41">
        <f>IF(AH256=0,"",IF(AA256=0,"Never counted",IF(C256&lt;=D256+N(O256)*Settings!$C$6,"Near the reorder point","Not counted for "&amp;INT((Settings!$C$10-AA256)/7)&amp;" weeks")))</f>
        <v/>
      </c>
      <c r="AJ256" s="41">
        <f>IF(AH256=1,IFERROR(MATCH(M256,Settings!$G$19:$G$38,0),99)*1000+ROW(),"")</f>
        <v/>
      </c>
      <c r="AK256" s="41">
        <f>IF(AJ256="","",COUNTIF('Stock list'!$AJ$2:$AJ$301,"&lt;"&amp;AJ256)+1)</f>
        <v/>
      </c>
      <c r="AL256" s="41">
        <f>IF(OR(A256="",N(AC256)=0),"",AC256+ROW()/1000000)</f>
        <v/>
      </c>
    </row>
    <row r="257">
      <c r="A257" s="24" t="n"/>
      <c r="B257" s="30">
        <f>IF(A257="","",IF(AA257=0,"No count",IF(AND(N(O257)&gt;0,C257/O257*7&lt;Q257),"Critical",IF(F257&gt;0,"On order",IF(AND(D257&gt;0,C257&lt;=D257),"Order now","OK")))))</f>
        <v/>
      </c>
      <c r="C257" s="31">
        <f>IF(A257="","",MAX(0,IF(_xlfn.MAXIFS(Log!$A$2:$A$1001,Log!$B$2:$B$1001,A257,Log!$C$2:$C$1001,"Count")&gt;N(S257),_xlfn.MAXIFS(Log!$D$2:$D$1001,Log!$B$2:$B$1001,A257,Log!$C$2:$C$1001,"Count",Log!$A$2:$A$1001,AA257),N(R257))+SUMIFS(Log!$D$2:$D$1001,Log!$B$2:$B$1001,A257,Log!$C$2:$C$1001,"Received",Log!$A$2:$A$1001,"&gt;"&amp;AA257)-SUMIFS(Log!$D$2:$D$1001,Log!$B$2:$B$1001,A257,Log!$C$2:$C$1001,"Used",Log!$A$2:$A$1001,"&gt;"&amp;AA257)+SUMIFS(Log!$D$2:$D$1001,Log!$B$2:$B$1001,A257,Log!$C$2:$C$1001,"Adjustment",Log!$A$2:$A$1001,"&gt;"&amp;AA257)))</f>
        <v/>
      </c>
      <c r="D257" s="32">
        <f>IF(A257="","",IF(X257&lt;&gt;"",X257,W257))</f>
        <v/>
      </c>
      <c r="E257" s="33">
        <f>IF(OR(A257="",N(O257)=0),"",C257/O257)</f>
        <v/>
      </c>
      <c r="F257" s="31">
        <f>IF(A257="","",MAX(0,N(T257)-SUMIFS(Log!$D$2:$D$1001,Log!$B$2:$B$1001,A257,Log!$C$2:$C$1001,"Received",Log!$A$2:$A$1001,"&gt;="&amp;N(U257))))</f>
        <v/>
      </c>
      <c r="G257" s="24" t="n"/>
      <c r="H257" s="24" t="n"/>
      <c r="I257" s="24" t="n"/>
      <c r="J257" s="24" t="n"/>
      <c r="K257" s="24" t="n"/>
      <c r="L257" s="34" t="n"/>
      <c r="M257" s="24" t="n"/>
      <c r="N257" s="24" t="n"/>
      <c r="O257" s="35" t="n"/>
      <c r="P257" s="25" t="n"/>
      <c r="Q257" s="36">
        <f>IF(A257="","",IF(P257&lt;&gt;"",P257,IFERROR(IF(N(INDEX(Suppliers!$E$5:$E$24,MATCH(H257,Suppliers!$B$5:$B$24,0)))&gt;0,INDEX(Suppliers!$E$5:$E$24,MATCH(H257,Suppliers!$B$5:$B$24,0)),5),5)))</f>
        <v/>
      </c>
      <c r="R257" s="35" t="n"/>
      <c r="S257" s="37" t="n"/>
      <c r="T257" s="25" t="n"/>
      <c r="U257" s="37" t="n"/>
      <c r="V257" s="37" t="n"/>
      <c r="W257" s="36">
        <f>IF(A257="","",ROUNDUP(N(O257)*(Q257/7+Settings!$C$5),0))</f>
        <v/>
      </c>
      <c r="X257" s="25" t="n"/>
      <c r="Y257" s="25" t="n"/>
      <c r="Z257" s="32">
        <f>IF(A257="","",IF(Y257&lt;&gt;"",Y257,MAX(1,ROUNDUP(N(O257)*Settings!$C$7,0))))</f>
        <v/>
      </c>
      <c r="AA257" s="38">
        <f>IF(A257="","",MAX(N(S257),_xlfn.MAXIFS(Log!$A$2:$A$1001,Log!$B$2:$B$1001,A257,Log!$C$2:$C$1001,"Count")))</f>
        <v/>
      </c>
      <c r="AB257" s="39">
        <f>IF(A257="","",Z257*N(L257))</f>
        <v/>
      </c>
      <c r="AC257" s="40">
        <f>IF(A257="","",N(O257)*52*N(L257))</f>
        <v/>
      </c>
      <c r="AD257" s="39">
        <f>IF(A257="","",C257*N(L257))</f>
        <v/>
      </c>
      <c r="AE257" s="41">
        <f>IF(A257="",0,IF(AND(OR(B257="Order now",B257="Critical"),F257=0),1,0))</f>
        <v/>
      </c>
      <c r="AF257" s="41">
        <f>IF(AE257=1,IFERROR(MATCH(H257,Suppliers!$B$5:$B$24,0),99)*1000+ROW(),"")</f>
        <v/>
      </c>
      <c r="AG257" s="41">
        <f>IF(AF257="","",COUNTIF('Stock list'!$AF$2:$AF$301,"&lt;"&amp;AF257)+1)</f>
        <v/>
      </c>
      <c r="AH257" s="41">
        <f>IF(A257="",0,IF(OR(AA257=0,AND(B257="OK",OR(C257&lt;=D257+N(O257)*Settings!$C$6,Settings!$C$10-AA257&gt;Settings!$C$8*7))),1,0))</f>
        <v/>
      </c>
      <c r="AI257" s="41">
        <f>IF(AH257=0,"",IF(AA257=0,"Never counted",IF(C257&lt;=D257+N(O257)*Settings!$C$6,"Near the reorder point","Not counted for "&amp;INT((Settings!$C$10-AA257)/7)&amp;" weeks")))</f>
        <v/>
      </c>
      <c r="AJ257" s="41">
        <f>IF(AH257=1,IFERROR(MATCH(M257,Settings!$G$19:$G$38,0),99)*1000+ROW(),"")</f>
        <v/>
      </c>
      <c r="AK257" s="41">
        <f>IF(AJ257="","",COUNTIF('Stock list'!$AJ$2:$AJ$301,"&lt;"&amp;AJ257)+1)</f>
        <v/>
      </c>
      <c r="AL257" s="41">
        <f>IF(OR(A257="",N(AC257)=0),"",AC257+ROW()/1000000)</f>
        <v/>
      </c>
    </row>
    <row r="258">
      <c r="A258" s="24" t="n"/>
      <c r="B258" s="30">
        <f>IF(A258="","",IF(AA258=0,"No count",IF(AND(N(O258)&gt;0,C258/O258*7&lt;Q258),"Critical",IF(F258&gt;0,"On order",IF(AND(D258&gt;0,C258&lt;=D258),"Order now","OK")))))</f>
        <v/>
      </c>
      <c r="C258" s="31">
        <f>IF(A258="","",MAX(0,IF(_xlfn.MAXIFS(Log!$A$2:$A$1001,Log!$B$2:$B$1001,A258,Log!$C$2:$C$1001,"Count")&gt;N(S258),_xlfn.MAXIFS(Log!$D$2:$D$1001,Log!$B$2:$B$1001,A258,Log!$C$2:$C$1001,"Count",Log!$A$2:$A$1001,AA258),N(R258))+SUMIFS(Log!$D$2:$D$1001,Log!$B$2:$B$1001,A258,Log!$C$2:$C$1001,"Received",Log!$A$2:$A$1001,"&gt;"&amp;AA258)-SUMIFS(Log!$D$2:$D$1001,Log!$B$2:$B$1001,A258,Log!$C$2:$C$1001,"Used",Log!$A$2:$A$1001,"&gt;"&amp;AA258)+SUMIFS(Log!$D$2:$D$1001,Log!$B$2:$B$1001,A258,Log!$C$2:$C$1001,"Adjustment",Log!$A$2:$A$1001,"&gt;"&amp;AA258)))</f>
        <v/>
      </c>
      <c r="D258" s="32">
        <f>IF(A258="","",IF(X258&lt;&gt;"",X258,W258))</f>
        <v/>
      </c>
      <c r="E258" s="33">
        <f>IF(OR(A258="",N(O258)=0),"",C258/O258)</f>
        <v/>
      </c>
      <c r="F258" s="31">
        <f>IF(A258="","",MAX(0,N(T258)-SUMIFS(Log!$D$2:$D$1001,Log!$B$2:$B$1001,A258,Log!$C$2:$C$1001,"Received",Log!$A$2:$A$1001,"&gt;="&amp;N(U258))))</f>
        <v/>
      </c>
      <c r="G258" s="24" t="n"/>
      <c r="H258" s="24" t="n"/>
      <c r="I258" s="24" t="n"/>
      <c r="J258" s="24" t="n"/>
      <c r="K258" s="24" t="n"/>
      <c r="L258" s="34" t="n"/>
      <c r="M258" s="24" t="n"/>
      <c r="N258" s="24" t="n"/>
      <c r="O258" s="35" t="n"/>
      <c r="P258" s="25" t="n"/>
      <c r="Q258" s="36">
        <f>IF(A258="","",IF(P258&lt;&gt;"",P258,IFERROR(IF(N(INDEX(Suppliers!$E$5:$E$24,MATCH(H258,Suppliers!$B$5:$B$24,0)))&gt;0,INDEX(Suppliers!$E$5:$E$24,MATCH(H258,Suppliers!$B$5:$B$24,0)),5),5)))</f>
        <v/>
      </c>
      <c r="R258" s="35" t="n"/>
      <c r="S258" s="37" t="n"/>
      <c r="T258" s="25" t="n"/>
      <c r="U258" s="37" t="n"/>
      <c r="V258" s="37" t="n"/>
      <c r="W258" s="36">
        <f>IF(A258="","",ROUNDUP(N(O258)*(Q258/7+Settings!$C$5),0))</f>
        <v/>
      </c>
      <c r="X258" s="25" t="n"/>
      <c r="Y258" s="25" t="n"/>
      <c r="Z258" s="32">
        <f>IF(A258="","",IF(Y258&lt;&gt;"",Y258,MAX(1,ROUNDUP(N(O258)*Settings!$C$7,0))))</f>
        <v/>
      </c>
      <c r="AA258" s="38">
        <f>IF(A258="","",MAX(N(S258),_xlfn.MAXIFS(Log!$A$2:$A$1001,Log!$B$2:$B$1001,A258,Log!$C$2:$C$1001,"Count")))</f>
        <v/>
      </c>
      <c r="AB258" s="39">
        <f>IF(A258="","",Z258*N(L258))</f>
        <v/>
      </c>
      <c r="AC258" s="40">
        <f>IF(A258="","",N(O258)*52*N(L258))</f>
        <v/>
      </c>
      <c r="AD258" s="39">
        <f>IF(A258="","",C258*N(L258))</f>
        <v/>
      </c>
      <c r="AE258" s="41">
        <f>IF(A258="",0,IF(AND(OR(B258="Order now",B258="Critical"),F258=0),1,0))</f>
        <v/>
      </c>
      <c r="AF258" s="41">
        <f>IF(AE258=1,IFERROR(MATCH(H258,Suppliers!$B$5:$B$24,0),99)*1000+ROW(),"")</f>
        <v/>
      </c>
      <c r="AG258" s="41">
        <f>IF(AF258="","",COUNTIF('Stock list'!$AF$2:$AF$301,"&lt;"&amp;AF258)+1)</f>
        <v/>
      </c>
      <c r="AH258" s="41">
        <f>IF(A258="",0,IF(OR(AA258=0,AND(B258="OK",OR(C258&lt;=D258+N(O258)*Settings!$C$6,Settings!$C$10-AA258&gt;Settings!$C$8*7))),1,0))</f>
        <v/>
      </c>
      <c r="AI258" s="41">
        <f>IF(AH258=0,"",IF(AA258=0,"Never counted",IF(C258&lt;=D258+N(O258)*Settings!$C$6,"Near the reorder point","Not counted for "&amp;INT((Settings!$C$10-AA258)/7)&amp;" weeks")))</f>
        <v/>
      </c>
      <c r="AJ258" s="41">
        <f>IF(AH258=1,IFERROR(MATCH(M258,Settings!$G$19:$G$38,0),99)*1000+ROW(),"")</f>
        <v/>
      </c>
      <c r="AK258" s="41">
        <f>IF(AJ258="","",COUNTIF('Stock list'!$AJ$2:$AJ$301,"&lt;"&amp;AJ258)+1)</f>
        <v/>
      </c>
      <c r="AL258" s="41">
        <f>IF(OR(A258="",N(AC258)=0),"",AC258+ROW()/1000000)</f>
        <v/>
      </c>
    </row>
    <row r="259">
      <c r="A259" s="24" t="n"/>
      <c r="B259" s="30">
        <f>IF(A259="","",IF(AA259=0,"No count",IF(AND(N(O259)&gt;0,C259/O259*7&lt;Q259),"Critical",IF(F259&gt;0,"On order",IF(AND(D259&gt;0,C259&lt;=D259),"Order now","OK")))))</f>
        <v/>
      </c>
      <c r="C259" s="31">
        <f>IF(A259="","",MAX(0,IF(_xlfn.MAXIFS(Log!$A$2:$A$1001,Log!$B$2:$B$1001,A259,Log!$C$2:$C$1001,"Count")&gt;N(S259),_xlfn.MAXIFS(Log!$D$2:$D$1001,Log!$B$2:$B$1001,A259,Log!$C$2:$C$1001,"Count",Log!$A$2:$A$1001,AA259),N(R259))+SUMIFS(Log!$D$2:$D$1001,Log!$B$2:$B$1001,A259,Log!$C$2:$C$1001,"Received",Log!$A$2:$A$1001,"&gt;"&amp;AA259)-SUMIFS(Log!$D$2:$D$1001,Log!$B$2:$B$1001,A259,Log!$C$2:$C$1001,"Used",Log!$A$2:$A$1001,"&gt;"&amp;AA259)+SUMIFS(Log!$D$2:$D$1001,Log!$B$2:$B$1001,A259,Log!$C$2:$C$1001,"Adjustment",Log!$A$2:$A$1001,"&gt;"&amp;AA259)))</f>
        <v/>
      </c>
      <c r="D259" s="32">
        <f>IF(A259="","",IF(X259&lt;&gt;"",X259,W259))</f>
        <v/>
      </c>
      <c r="E259" s="33">
        <f>IF(OR(A259="",N(O259)=0),"",C259/O259)</f>
        <v/>
      </c>
      <c r="F259" s="31">
        <f>IF(A259="","",MAX(0,N(T259)-SUMIFS(Log!$D$2:$D$1001,Log!$B$2:$B$1001,A259,Log!$C$2:$C$1001,"Received",Log!$A$2:$A$1001,"&gt;="&amp;N(U259))))</f>
        <v/>
      </c>
      <c r="G259" s="24" t="n"/>
      <c r="H259" s="24" t="n"/>
      <c r="I259" s="24" t="n"/>
      <c r="J259" s="24" t="n"/>
      <c r="K259" s="24" t="n"/>
      <c r="L259" s="34" t="n"/>
      <c r="M259" s="24" t="n"/>
      <c r="N259" s="24" t="n"/>
      <c r="O259" s="35" t="n"/>
      <c r="P259" s="25" t="n"/>
      <c r="Q259" s="36">
        <f>IF(A259="","",IF(P259&lt;&gt;"",P259,IFERROR(IF(N(INDEX(Suppliers!$E$5:$E$24,MATCH(H259,Suppliers!$B$5:$B$24,0)))&gt;0,INDEX(Suppliers!$E$5:$E$24,MATCH(H259,Suppliers!$B$5:$B$24,0)),5),5)))</f>
        <v/>
      </c>
      <c r="R259" s="35" t="n"/>
      <c r="S259" s="37" t="n"/>
      <c r="T259" s="25" t="n"/>
      <c r="U259" s="37" t="n"/>
      <c r="V259" s="37" t="n"/>
      <c r="W259" s="36">
        <f>IF(A259="","",ROUNDUP(N(O259)*(Q259/7+Settings!$C$5),0))</f>
        <v/>
      </c>
      <c r="X259" s="25" t="n"/>
      <c r="Y259" s="25" t="n"/>
      <c r="Z259" s="32">
        <f>IF(A259="","",IF(Y259&lt;&gt;"",Y259,MAX(1,ROUNDUP(N(O259)*Settings!$C$7,0))))</f>
        <v/>
      </c>
      <c r="AA259" s="38">
        <f>IF(A259="","",MAX(N(S259),_xlfn.MAXIFS(Log!$A$2:$A$1001,Log!$B$2:$B$1001,A259,Log!$C$2:$C$1001,"Count")))</f>
        <v/>
      </c>
      <c r="AB259" s="39">
        <f>IF(A259="","",Z259*N(L259))</f>
        <v/>
      </c>
      <c r="AC259" s="40">
        <f>IF(A259="","",N(O259)*52*N(L259))</f>
        <v/>
      </c>
      <c r="AD259" s="39">
        <f>IF(A259="","",C259*N(L259))</f>
        <v/>
      </c>
      <c r="AE259" s="41">
        <f>IF(A259="",0,IF(AND(OR(B259="Order now",B259="Critical"),F259=0),1,0))</f>
        <v/>
      </c>
      <c r="AF259" s="41">
        <f>IF(AE259=1,IFERROR(MATCH(H259,Suppliers!$B$5:$B$24,0),99)*1000+ROW(),"")</f>
        <v/>
      </c>
      <c r="AG259" s="41">
        <f>IF(AF259="","",COUNTIF('Stock list'!$AF$2:$AF$301,"&lt;"&amp;AF259)+1)</f>
        <v/>
      </c>
      <c r="AH259" s="41">
        <f>IF(A259="",0,IF(OR(AA259=0,AND(B259="OK",OR(C259&lt;=D259+N(O259)*Settings!$C$6,Settings!$C$10-AA259&gt;Settings!$C$8*7))),1,0))</f>
        <v/>
      </c>
      <c r="AI259" s="41">
        <f>IF(AH259=0,"",IF(AA259=0,"Never counted",IF(C259&lt;=D259+N(O259)*Settings!$C$6,"Near the reorder point","Not counted for "&amp;INT((Settings!$C$10-AA259)/7)&amp;" weeks")))</f>
        <v/>
      </c>
      <c r="AJ259" s="41">
        <f>IF(AH259=1,IFERROR(MATCH(M259,Settings!$G$19:$G$38,0),99)*1000+ROW(),"")</f>
        <v/>
      </c>
      <c r="AK259" s="41">
        <f>IF(AJ259="","",COUNTIF('Stock list'!$AJ$2:$AJ$301,"&lt;"&amp;AJ259)+1)</f>
        <v/>
      </c>
      <c r="AL259" s="41">
        <f>IF(OR(A259="",N(AC259)=0),"",AC259+ROW()/1000000)</f>
        <v/>
      </c>
    </row>
    <row r="260">
      <c r="A260" s="24" t="n"/>
      <c r="B260" s="30">
        <f>IF(A260="","",IF(AA260=0,"No count",IF(AND(N(O260)&gt;0,C260/O260*7&lt;Q260),"Critical",IF(F260&gt;0,"On order",IF(AND(D260&gt;0,C260&lt;=D260),"Order now","OK")))))</f>
        <v/>
      </c>
      <c r="C260" s="31">
        <f>IF(A260="","",MAX(0,IF(_xlfn.MAXIFS(Log!$A$2:$A$1001,Log!$B$2:$B$1001,A260,Log!$C$2:$C$1001,"Count")&gt;N(S260),_xlfn.MAXIFS(Log!$D$2:$D$1001,Log!$B$2:$B$1001,A260,Log!$C$2:$C$1001,"Count",Log!$A$2:$A$1001,AA260),N(R260))+SUMIFS(Log!$D$2:$D$1001,Log!$B$2:$B$1001,A260,Log!$C$2:$C$1001,"Received",Log!$A$2:$A$1001,"&gt;"&amp;AA260)-SUMIFS(Log!$D$2:$D$1001,Log!$B$2:$B$1001,A260,Log!$C$2:$C$1001,"Used",Log!$A$2:$A$1001,"&gt;"&amp;AA260)+SUMIFS(Log!$D$2:$D$1001,Log!$B$2:$B$1001,A260,Log!$C$2:$C$1001,"Adjustment",Log!$A$2:$A$1001,"&gt;"&amp;AA260)))</f>
        <v/>
      </c>
      <c r="D260" s="32">
        <f>IF(A260="","",IF(X260&lt;&gt;"",X260,W260))</f>
        <v/>
      </c>
      <c r="E260" s="33">
        <f>IF(OR(A260="",N(O260)=0),"",C260/O260)</f>
        <v/>
      </c>
      <c r="F260" s="31">
        <f>IF(A260="","",MAX(0,N(T260)-SUMIFS(Log!$D$2:$D$1001,Log!$B$2:$B$1001,A260,Log!$C$2:$C$1001,"Received",Log!$A$2:$A$1001,"&gt;="&amp;N(U260))))</f>
        <v/>
      </c>
      <c r="G260" s="24" t="n"/>
      <c r="H260" s="24" t="n"/>
      <c r="I260" s="24" t="n"/>
      <c r="J260" s="24" t="n"/>
      <c r="K260" s="24" t="n"/>
      <c r="L260" s="34" t="n"/>
      <c r="M260" s="24" t="n"/>
      <c r="N260" s="24" t="n"/>
      <c r="O260" s="35" t="n"/>
      <c r="P260" s="25" t="n"/>
      <c r="Q260" s="36">
        <f>IF(A260="","",IF(P260&lt;&gt;"",P260,IFERROR(IF(N(INDEX(Suppliers!$E$5:$E$24,MATCH(H260,Suppliers!$B$5:$B$24,0)))&gt;0,INDEX(Suppliers!$E$5:$E$24,MATCH(H260,Suppliers!$B$5:$B$24,0)),5),5)))</f>
        <v/>
      </c>
      <c r="R260" s="35" t="n"/>
      <c r="S260" s="37" t="n"/>
      <c r="T260" s="25" t="n"/>
      <c r="U260" s="37" t="n"/>
      <c r="V260" s="37" t="n"/>
      <c r="W260" s="36">
        <f>IF(A260="","",ROUNDUP(N(O260)*(Q260/7+Settings!$C$5),0))</f>
        <v/>
      </c>
      <c r="X260" s="25" t="n"/>
      <c r="Y260" s="25" t="n"/>
      <c r="Z260" s="32">
        <f>IF(A260="","",IF(Y260&lt;&gt;"",Y260,MAX(1,ROUNDUP(N(O260)*Settings!$C$7,0))))</f>
        <v/>
      </c>
      <c r="AA260" s="38">
        <f>IF(A260="","",MAX(N(S260),_xlfn.MAXIFS(Log!$A$2:$A$1001,Log!$B$2:$B$1001,A260,Log!$C$2:$C$1001,"Count")))</f>
        <v/>
      </c>
      <c r="AB260" s="39">
        <f>IF(A260="","",Z260*N(L260))</f>
        <v/>
      </c>
      <c r="AC260" s="40">
        <f>IF(A260="","",N(O260)*52*N(L260))</f>
        <v/>
      </c>
      <c r="AD260" s="39">
        <f>IF(A260="","",C260*N(L260))</f>
        <v/>
      </c>
      <c r="AE260" s="41">
        <f>IF(A260="",0,IF(AND(OR(B260="Order now",B260="Critical"),F260=0),1,0))</f>
        <v/>
      </c>
      <c r="AF260" s="41">
        <f>IF(AE260=1,IFERROR(MATCH(H260,Suppliers!$B$5:$B$24,0),99)*1000+ROW(),"")</f>
        <v/>
      </c>
      <c r="AG260" s="41">
        <f>IF(AF260="","",COUNTIF('Stock list'!$AF$2:$AF$301,"&lt;"&amp;AF260)+1)</f>
        <v/>
      </c>
      <c r="AH260" s="41">
        <f>IF(A260="",0,IF(OR(AA260=0,AND(B260="OK",OR(C260&lt;=D260+N(O260)*Settings!$C$6,Settings!$C$10-AA260&gt;Settings!$C$8*7))),1,0))</f>
        <v/>
      </c>
      <c r="AI260" s="41">
        <f>IF(AH260=0,"",IF(AA260=0,"Never counted",IF(C260&lt;=D260+N(O260)*Settings!$C$6,"Near the reorder point","Not counted for "&amp;INT((Settings!$C$10-AA260)/7)&amp;" weeks")))</f>
        <v/>
      </c>
      <c r="AJ260" s="41">
        <f>IF(AH260=1,IFERROR(MATCH(M260,Settings!$G$19:$G$38,0),99)*1000+ROW(),"")</f>
        <v/>
      </c>
      <c r="AK260" s="41">
        <f>IF(AJ260="","",COUNTIF('Stock list'!$AJ$2:$AJ$301,"&lt;"&amp;AJ260)+1)</f>
        <v/>
      </c>
      <c r="AL260" s="41">
        <f>IF(OR(A260="",N(AC260)=0),"",AC260+ROW()/1000000)</f>
        <v/>
      </c>
    </row>
    <row r="261">
      <c r="A261" s="24" t="n"/>
      <c r="B261" s="30">
        <f>IF(A261="","",IF(AA261=0,"No count",IF(AND(N(O261)&gt;0,C261/O261*7&lt;Q261),"Critical",IF(F261&gt;0,"On order",IF(AND(D261&gt;0,C261&lt;=D261),"Order now","OK")))))</f>
        <v/>
      </c>
      <c r="C261" s="31">
        <f>IF(A261="","",MAX(0,IF(_xlfn.MAXIFS(Log!$A$2:$A$1001,Log!$B$2:$B$1001,A261,Log!$C$2:$C$1001,"Count")&gt;N(S261),_xlfn.MAXIFS(Log!$D$2:$D$1001,Log!$B$2:$B$1001,A261,Log!$C$2:$C$1001,"Count",Log!$A$2:$A$1001,AA261),N(R261))+SUMIFS(Log!$D$2:$D$1001,Log!$B$2:$B$1001,A261,Log!$C$2:$C$1001,"Received",Log!$A$2:$A$1001,"&gt;"&amp;AA261)-SUMIFS(Log!$D$2:$D$1001,Log!$B$2:$B$1001,A261,Log!$C$2:$C$1001,"Used",Log!$A$2:$A$1001,"&gt;"&amp;AA261)+SUMIFS(Log!$D$2:$D$1001,Log!$B$2:$B$1001,A261,Log!$C$2:$C$1001,"Adjustment",Log!$A$2:$A$1001,"&gt;"&amp;AA261)))</f>
        <v/>
      </c>
      <c r="D261" s="32">
        <f>IF(A261="","",IF(X261&lt;&gt;"",X261,W261))</f>
        <v/>
      </c>
      <c r="E261" s="33">
        <f>IF(OR(A261="",N(O261)=0),"",C261/O261)</f>
        <v/>
      </c>
      <c r="F261" s="31">
        <f>IF(A261="","",MAX(0,N(T261)-SUMIFS(Log!$D$2:$D$1001,Log!$B$2:$B$1001,A261,Log!$C$2:$C$1001,"Received",Log!$A$2:$A$1001,"&gt;="&amp;N(U261))))</f>
        <v/>
      </c>
      <c r="G261" s="24" t="n"/>
      <c r="H261" s="24" t="n"/>
      <c r="I261" s="24" t="n"/>
      <c r="J261" s="24" t="n"/>
      <c r="K261" s="24" t="n"/>
      <c r="L261" s="34" t="n"/>
      <c r="M261" s="24" t="n"/>
      <c r="N261" s="24" t="n"/>
      <c r="O261" s="35" t="n"/>
      <c r="P261" s="25" t="n"/>
      <c r="Q261" s="36">
        <f>IF(A261="","",IF(P261&lt;&gt;"",P261,IFERROR(IF(N(INDEX(Suppliers!$E$5:$E$24,MATCH(H261,Suppliers!$B$5:$B$24,0)))&gt;0,INDEX(Suppliers!$E$5:$E$24,MATCH(H261,Suppliers!$B$5:$B$24,0)),5),5)))</f>
        <v/>
      </c>
      <c r="R261" s="35" t="n"/>
      <c r="S261" s="37" t="n"/>
      <c r="T261" s="25" t="n"/>
      <c r="U261" s="37" t="n"/>
      <c r="V261" s="37" t="n"/>
      <c r="W261" s="36">
        <f>IF(A261="","",ROUNDUP(N(O261)*(Q261/7+Settings!$C$5),0))</f>
        <v/>
      </c>
      <c r="X261" s="25" t="n"/>
      <c r="Y261" s="25" t="n"/>
      <c r="Z261" s="32">
        <f>IF(A261="","",IF(Y261&lt;&gt;"",Y261,MAX(1,ROUNDUP(N(O261)*Settings!$C$7,0))))</f>
        <v/>
      </c>
      <c r="AA261" s="38">
        <f>IF(A261="","",MAX(N(S261),_xlfn.MAXIFS(Log!$A$2:$A$1001,Log!$B$2:$B$1001,A261,Log!$C$2:$C$1001,"Count")))</f>
        <v/>
      </c>
      <c r="AB261" s="39">
        <f>IF(A261="","",Z261*N(L261))</f>
        <v/>
      </c>
      <c r="AC261" s="40">
        <f>IF(A261="","",N(O261)*52*N(L261))</f>
        <v/>
      </c>
      <c r="AD261" s="39">
        <f>IF(A261="","",C261*N(L261))</f>
        <v/>
      </c>
      <c r="AE261" s="41">
        <f>IF(A261="",0,IF(AND(OR(B261="Order now",B261="Critical"),F261=0),1,0))</f>
        <v/>
      </c>
      <c r="AF261" s="41">
        <f>IF(AE261=1,IFERROR(MATCH(H261,Suppliers!$B$5:$B$24,0),99)*1000+ROW(),"")</f>
        <v/>
      </c>
      <c r="AG261" s="41">
        <f>IF(AF261="","",COUNTIF('Stock list'!$AF$2:$AF$301,"&lt;"&amp;AF261)+1)</f>
        <v/>
      </c>
      <c r="AH261" s="41">
        <f>IF(A261="",0,IF(OR(AA261=0,AND(B261="OK",OR(C261&lt;=D261+N(O261)*Settings!$C$6,Settings!$C$10-AA261&gt;Settings!$C$8*7))),1,0))</f>
        <v/>
      </c>
      <c r="AI261" s="41">
        <f>IF(AH261=0,"",IF(AA261=0,"Never counted",IF(C261&lt;=D261+N(O261)*Settings!$C$6,"Near the reorder point","Not counted for "&amp;INT((Settings!$C$10-AA261)/7)&amp;" weeks")))</f>
        <v/>
      </c>
      <c r="AJ261" s="41">
        <f>IF(AH261=1,IFERROR(MATCH(M261,Settings!$G$19:$G$38,0),99)*1000+ROW(),"")</f>
        <v/>
      </c>
      <c r="AK261" s="41">
        <f>IF(AJ261="","",COUNTIF('Stock list'!$AJ$2:$AJ$301,"&lt;"&amp;AJ261)+1)</f>
        <v/>
      </c>
      <c r="AL261" s="41">
        <f>IF(OR(A261="",N(AC261)=0),"",AC261+ROW()/1000000)</f>
        <v/>
      </c>
    </row>
    <row r="262">
      <c r="A262" s="24" t="n"/>
      <c r="B262" s="30">
        <f>IF(A262="","",IF(AA262=0,"No count",IF(AND(N(O262)&gt;0,C262/O262*7&lt;Q262),"Critical",IF(F262&gt;0,"On order",IF(AND(D262&gt;0,C262&lt;=D262),"Order now","OK")))))</f>
        <v/>
      </c>
      <c r="C262" s="31">
        <f>IF(A262="","",MAX(0,IF(_xlfn.MAXIFS(Log!$A$2:$A$1001,Log!$B$2:$B$1001,A262,Log!$C$2:$C$1001,"Count")&gt;N(S262),_xlfn.MAXIFS(Log!$D$2:$D$1001,Log!$B$2:$B$1001,A262,Log!$C$2:$C$1001,"Count",Log!$A$2:$A$1001,AA262),N(R262))+SUMIFS(Log!$D$2:$D$1001,Log!$B$2:$B$1001,A262,Log!$C$2:$C$1001,"Received",Log!$A$2:$A$1001,"&gt;"&amp;AA262)-SUMIFS(Log!$D$2:$D$1001,Log!$B$2:$B$1001,A262,Log!$C$2:$C$1001,"Used",Log!$A$2:$A$1001,"&gt;"&amp;AA262)+SUMIFS(Log!$D$2:$D$1001,Log!$B$2:$B$1001,A262,Log!$C$2:$C$1001,"Adjustment",Log!$A$2:$A$1001,"&gt;"&amp;AA262)))</f>
        <v/>
      </c>
      <c r="D262" s="32">
        <f>IF(A262="","",IF(X262&lt;&gt;"",X262,W262))</f>
        <v/>
      </c>
      <c r="E262" s="33">
        <f>IF(OR(A262="",N(O262)=0),"",C262/O262)</f>
        <v/>
      </c>
      <c r="F262" s="31">
        <f>IF(A262="","",MAX(0,N(T262)-SUMIFS(Log!$D$2:$D$1001,Log!$B$2:$B$1001,A262,Log!$C$2:$C$1001,"Received",Log!$A$2:$A$1001,"&gt;="&amp;N(U262))))</f>
        <v/>
      </c>
      <c r="G262" s="24" t="n"/>
      <c r="H262" s="24" t="n"/>
      <c r="I262" s="24" t="n"/>
      <c r="J262" s="24" t="n"/>
      <c r="K262" s="24" t="n"/>
      <c r="L262" s="34" t="n"/>
      <c r="M262" s="24" t="n"/>
      <c r="N262" s="24" t="n"/>
      <c r="O262" s="35" t="n"/>
      <c r="P262" s="25" t="n"/>
      <c r="Q262" s="36">
        <f>IF(A262="","",IF(P262&lt;&gt;"",P262,IFERROR(IF(N(INDEX(Suppliers!$E$5:$E$24,MATCH(H262,Suppliers!$B$5:$B$24,0)))&gt;0,INDEX(Suppliers!$E$5:$E$24,MATCH(H262,Suppliers!$B$5:$B$24,0)),5),5)))</f>
        <v/>
      </c>
      <c r="R262" s="35" t="n"/>
      <c r="S262" s="37" t="n"/>
      <c r="T262" s="25" t="n"/>
      <c r="U262" s="37" t="n"/>
      <c r="V262" s="37" t="n"/>
      <c r="W262" s="36">
        <f>IF(A262="","",ROUNDUP(N(O262)*(Q262/7+Settings!$C$5),0))</f>
        <v/>
      </c>
      <c r="X262" s="25" t="n"/>
      <c r="Y262" s="25" t="n"/>
      <c r="Z262" s="32">
        <f>IF(A262="","",IF(Y262&lt;&gt;"",Y262,MAX(1,ROUNDUP(N(O262)*Settings!$C$7,0))))</f>
        <v/>
      </c>
      <c r="AA262" s="38">
        <f>IF(A262="","",MAX(N(S262),_xlfn.MAXIFS(Log!$A$2:$A$1001,Log!$B$2:$B$1001,A262,Log!$C$2:$C$1001,"Count")))</f>
        <v/>
      </c>
      <c r="AB262" s="39">
        <f>IF(A262="","",Z262*N(L262))</f>
        <v/>
      </c>
      <c r="AC262" s="40">
        <f>IF(A262="","",N(O262)*52*N(L262))</f>
        <v/>
      </c>
      <c r="AD262" s="39">
        <f>IF(A262="","",C262*N(L262))</f>
        <v/>
      </c>
      <c r="AE262" s="41">
        <f>IF(A262="",0,IF(AND(OR(B262="Order now",B262="Critical"),F262=0),1,0))</f>
        <v/>
      </c>
      <c r="AF262" s="41">
        <f>IF(AE262=1,IFERROR(MATCH(H262,Suppliers!$B$5:$B$24,0),99)*1000+ROW(),"")</f>
        <v/>
      </c>
      <c r="AG262" s="41">
        <f>IF(AF262="","",COUNTIF('Stock list'!$AF$2:$AF$301,"&lt;"&amp;AF262)+1)</f>
        <v/>
      </c>
      <c r="AH262" s="41">
        <f>IF(A262="",0,IF(OR(AA262=0,AND(B262="OK",OR(C262&lt;=D262+N(O262)*Settings!$C$6,Settings!$C$10-AA262&gt;Settings!$C$8*7))),1,0))</f>
        <v/>
      </c>
      <c r="AI262" s="41">
        <f>IF(AH262=0,"",IF(AA262=0,"Never counted",IF(C262&lt;=D262+N(O262)*Settings!$C$6,"Near the reorder point","Not counted for "&amp;INT((Settings!$C$10-AA262)/7)&amp;" weeks")))</f>
        <v/>
      </c>
      <c r="AJ262" s="41">
        <f>IF(AH262=1,IFERROR(MATCH(M262,Settings!$G$19:$G$38,0),99)*1000+ROW(),"")</f>
        <v/>
      </c>
      <c r="AK262" s="41">
        <f>IF(AJ262="","",COUNTIF('Stock list'!$AJ$2:$AJ$301,"&lt;"&amp;AJ262)+1)</f>
        <v/>
      </c>
      <c r="AL262" s="41">
        <f>IF(OR(A262="",N(AC262)=0),"",AC262+ROW()/1000000)</f>
        <v/>
      </c>
    </row>
    <row r="263">
      <c r="A263" s="24" t="n"/>
      <c r="B263" s="30">
        <f>IF(A263="","",IF(AA263=0,"No count",IF(AND(N(O263)&gt;0,C263/O263*7&lt;Q263),"Critical",IF(F263&gt;0,"On order",IF(AND(D263&gt;0,C263&lt;=D263),"Order now","OK")))))</f>
        <v/>
      </c>
      <c r="C263" s="31">
        <f>IF(A263="","",MAX(0,IF(_xlfn.MAXIFS(Log!$A$2:$A$1001,Log!$B$2:$B$1001,A263,Log!$C$2:$C$1001,"Count")&gt;N(S263),_xlfn.MAXIFS(Log!$D$2:$D$1001,Log!$B$2:$B$1001,A263,Log!$C$2:$C$1001,"Count",Log!$A$2:$A$1001,AA263),N(R263))+SUMIFS(Log!$D$2:$D$1001,Log!$B$2:$B$1001,A263,Log!$C$2:$C$1001,"Received",Log!$A$2:$A$1001,"&gt;"&amp;AA263)-SUMIFS(Log!$D$2:$D$1001,Log!$B$2:$B$1001,A263,Log!$C$2:$C$1001,"Used",Log!$A$2:$A$1001,"&gt;"&amp;AA263)+SUMIFS(Log!$D$2:$D$1001,Log!$B$2:$B$1001,A263,Log!$C$2:$C$1001,"Adjustment",Log!$A$2:$A$1001,"&gt;"&amp;AA263)))</f>
        <v/>
      </c>
      <c r="D263" s="32">
        <f>IF(A263="","",IF(X263&lt;&gt;"",X263,W263))</f>
        <v/>
      </c>
      <c r="E263" s="33">
        <f>IF(OR(A263="",N(O263)=0),"",C263/O263)</f>
        <v/>
      </c>
      <c r="F263" s="31">
        <f>IF(A263="","",MAX(0,N(T263)-SUMIFS(Log!$D$2:$D$1001,Log!$B$2:$B$1001,A263,Log!$C$2:$C$1001,"Received",Log!$A$2:$A$1001,"&gt;="&amp;N(U263))))</f>
        <v/>
      </c>
      <c r="G263" s="24" t="n"/>
      <c r="H263" s="24" t="n"/>
      <c r="I263" s="24" t="n"/>
      <c r="J263" s="24" t="n"/>
      <c r="K263" s="24" t="n"/>
      <c r="L263" s="34" t="n"/>
      <c r="M263" s="24" t="n"/>
      <c r="N263" s="24" t="n"/>
      <c r="O263" s="35" t="n"/>
      <c r="P263" s="25" t="n"/>
      <c r="Q263" s="36">
        <f>IF(A263="","",IF(P263&lt;&gt;"",P263,IFERROR(IF(N(INDEX(Suppliers!$E$5:$E$24,MATCH(H263,Suppliers!$B$5:$B$24,0)))&gt;0,INDEX(Suppliers!$E$5:$E$24,MATCH(H263,Suppliers!$B$5:$B$24,0)),5),5)))</f>
        <v/>
      </c>
      <c r="R263" s="35" t="n"/>
      <c r="S263" s="37" t="n"/>
      <c r="T263" s="25" t="n"/>
      <c r="U263" s="37" t="n"/>
      <c r="V263" s="37" t="n"/>
      <c r="W263" s="36">
        <f>IF(A263="","",ROUNDUP(N(O263)*(Q263/7+Settings!$C$5),0))</f>
        <v/>
      </c>
      <c r="X263" s="25" t="n"/>
      <c r="Y263" s="25" t="n"/>
      <c r="Z263" s="32">
        <f>IF(A263="","",IF(Y263&lt;&gt;"",Y263,MAX(1,ROUNDUP(N(O263)*Settings!$C$7,0))))</f>
        <v/>
      </c>
      <c r="AA263" s="38">
        <f>IF(A263="","",MAX(N(S263),_xlfn.MAXIFS(Log!$A$2:$A$1001,Log!$B$2:$B$1001,A263,Log!$C$2:$C$1001,"Count")))</f>
        <v/>
      </c>
      <c r="AB263" s="39">
        <f>IF(A263="","",Z263*N(L263))</f>
        <v/>
      </c>
      <c r="AC263" s="40">
        <f>IF(A263="","",N(O263)*52*N(L263))</f>
        <v/>
      </c>
      <c r="AD263" s="39">
        <f>IF(A263="","",C263*N(L263))</f>
        <v/>
      </c>
      <c r="AE263" s="41">
        <f>IF(A263="",0,IF(AND(OR(B263="Order now",B263="Critical"),F263=0),1,0))</f>
        <v/>
      </c>
      <c r="AF263" s="41">
        <f>IF(AE263=1,IFERROR(MATCH(H263,Suppliers!$B$5:$B$24,0),99)*1000+ROW(),"")</f>
        <v/>
      </c>
      <c r="AG263" s="41">
        <f>IF(AF263="","",COUNTIF('Stock list'!$AF$2:$AF$301,"&lt;"&amp;AF263)+1)</f>
        <v/>
      </c>
      <c r="AH263" s="41">
        <f>IF(A263="",0,IF(OR(AA263=0,AND(B263="OK",OR(C263&lt;=D263+N(O263)*Settings!$C$6,Settings!$C$10-AA263&gt;Settings!$C$8*7))),1,0))</f>
        <v/>
      </c>
      <c r="AI263" s="41">
        <f>IF(AH263=0,"",IF(AA263=0,"Never counted",IF(C263&lt;=D263+N(O263)*Settings!$C$6,"Near the reorder point","Not counted for "&amp;INT((Settings!$C$10-AA263)/7)&amp;" weeks")))</f>
        <v/>
      </c>
      <c r="AJ263" s="41">
        <f>IF(AH263=1,IFERROR(MATCH(M263,Settings!$G$19:$G$38,0),99)*1000+ROW(),"")</f>
        <v/>
      </c>
      <c r="AK263" s="41">
        <f>IF(AJ263="","",COUNTIF('Stock list'!$AJ$2:$AJ$301,"&lt;"&amp;AJ263)+1)</f>
        <v/>
      </c>
      <c r="AL263" s="41">
        <f>IF(OR(A263="",N(AC263)=0),"",AC263+ROW()/1000000)</f>
        <v/>
      </c>
    </row>
    <row r="264">
      <c r="A264" s="24" t="n"/>
      <c r="B264" s="30">
        <f>IF(A264="","",IF(AA264=0,"No count",IF(AND(N(O264)&gt;0,C264/O264*7&lt;Q264),"Critical",IF(F264&gt;0,"On order",IF(AND(D264&gt;0,C264&lt;=D264),"Order now","OK")))))</f>
        <v/>
      </c>
      <c r="C264" s="31">
        <f>IF(A264="","",MAX(0,IF(_xlfn.MAXIFS(Log!$A$2:$A$1001,Log!$B$2:$B$1001,A264,Log!$C$2:$C$1001,"Count")&gt;N(S264),_xlfn.MAXIFS(Log!$D$2:$D$1001,Log!$B$2:$B$1001,A264,Log!$C$2:$C$1001,"Count",Log!$A$2:$A$1001,AA264),N(R264))+SUMIFS(Log!$D$2:$D$1001,Log!$B$2:$B$1001,A264,Log!$C$2:$C$1001,"Received",Log!$A$2:$A$1001,"&gt;"&amp;AA264)-SUMIFS(Log!$D$2:$D$1001,Log!$B$2:$B$1001,A264,Log!$C$2:$C$1001,"Used",Log!$A$2:$A$1001,"&gt;"&amp;AA264)+SUMIFS(Log!$D$2:$D$1001,Log!$B$2:$B$1001,A264,Log!$C$2:$C$1001,"Adjustment",Log!$A$2:$A$1001,"&gt;"&amp;AA264)))</f>
        <v/>
      </c>
      <c r="D264" s="32">
        <f>IF(A264="","",IF(X264&lt;&gt;"",X264,W264))</f>
        <v/>
      </c>
      <c r="E264" s="33">
        <f>IF(OR(A264="",N(O264)=0),"",C264/O264)</f>
        <v/>
      </c>
      <c r="F264" s="31">
        <f>IF(A264="","",MAX(0,N(T264)-SUMIFS(Log!$D$2:$D$1001,Log!$B$2:$B$1001,A264,Log!$C$2:$C$1001,"Received",Log!$A$2:$A$1001,"&gt;="&amp;N(U264))))</f>
        <v/>
      </c>
      <c r="G264" s="24" t="n"/>
      <c r="H264" s="24" t="n"/>
      <c r="I264" s="24" t="n"/>
      <c r="J264" s="24" t="n"/>
      <c r="K264" s="24" t="n"/>
      <c r="L264" s="34" t="n"/>
      <c r="M264" s="24" t="n"/>
      <c r="N264" s="24" t="n"/>
      <c r="O264" s="35" t="n"/>
      <c r="P264" s="25" t="n"/>
      <c r="Q264" s="36">
        <f>IF(A264="","",IF(P264&lt;&gt;"",P264,IFERROR(IF(N(INDEX(Suppliers!$E$5:$E$24,MATCH(H264,Suppliers!$B$5:$B$24,0)))&gt;0,INDEX(Suppliers!$E$5:$E$24,MATCH(H264,Suppliers!$B$5:$B$24,0)),5),5)))</f>
        <v/>
      </c>
      <c r="R264" s="35" t="n"/>
      <c r="S264" s="37" t="n"/>
      <c r="T264" s="25" t="n"/>
      <c r="U264" s="37" t="n"/>
      <c r="V264" s="37" t="n"/>
      <c r="W264" s="36">
        <f>IF(A264="","",ROUNDUP(N(O264)*(Q264/7+Settings!$C$5),0))</f>
        <v/>
      </c>
      <c r="X264" s="25" t="n"/>
      <c r="Y264" s="25" t="n"/>
      <c r="Z264" s="32">
        <f>IF(A264="","",IF(Y264&lt;&gt;"",Y264,MAX(1,ROUNDUP(N(O264)*Settings!$C$7,0))))</f>
        <v/>
      </c>
      <c r="AA264" s="38">
        <f>IF(A264="","",MAX(N(S264),_xlfn.MAXIFS(Log!$A$2:$A$1001,Log!$B$2:$B$1001,A264,Log!$C$2:$C$1001,"Count")))</f>
        <v/>
      </c>
      <c r="AB264" s="39">
        <f>IF(A264="","",Z264*N(L264))</f>
        <v/>
      </c>
      <c r="AC264" s="40">
        <f>IF(A264="","",N(O264)*52*N(L264))</f>
        <v/>
      </c>
      <c r="AD264" s="39">
        <f>IF(A264="","",C264*N(L264))</f>
        <v/>
      </c>
      <c r="AE264" s="41">
        <f>IF(A264="",0,IF(AND(OR(B264="Order now",B264="Critical"),F264=0),1,0))</f>
        <v/>
      </c>
      <c r="AF264" s="41">
        <f>IF(AE264=1,IFERROR(MATCH(H264,Suppliers!$B$5:$B$24,0),99)*1000+ROW(),"")</f>
        <v/>
      </c>
      <c r="AG264" s="41">
        <f>IF(AF264="","",COUNTIF('Stock list'!$AF$2:$AF$301,"&lt;"&amp;AF264)+1)</f>
        <v/>
      </c>
      <c r="AH264" s="41">
        <f>IF(A264="",0,IF(OR(AA264=0,AND(B264="OK",OR(C264&lt;=D264+N(O264)*Settings!$C$6,Settings!$C$10-AA264&gt;Settings!$C$8*7))),1,0))</f>
        <v/>
      </c>
      <c r="AI264" s="41">
        <f>IF(AH264=0,"",IF(AA264=0,"Never counted",IF(C264&lt;=D264+N(O264)*Settings!$C$6,"Near the reorder point","Not counted for "&amp;INT((Settings!$C$10-AA264)/7)&amp;" weeks")))</f>
        <v/>
      </c>
      <c r="AJ264" s="41">
        <f>IF(AH264=1,IFERROR(MATCH(M264,Settings!$G$19:$G$38,0),99)*1000+ROW(),"")</f>
        <v/>
      </c>
      <c r="AK264" s="41">
        <f>IF(AJ264="","",COUNTIF('Stock list'!$AJ$2:$AJ$301,"&lt;"&amp;AJ264)+1)</f>
        <v/>
      </c>
      <c r="AL264" s="41">
        <f>IF(OR(A264="",N(AC264)=0),"",AC264+ROW()/1000000)</f>
        <v/>
      </c>
    </row>
    <row r="265">
      <c r="A265" s="24" t="n"/>
      <c r="B265" s="30">
        <f>IF(A265="","",IF(AA265=0,"No count",IF(AND(N(O265)&gt;0,C265/O265*7&lt;Q265),"Critical",IF(F265&gt;0,"On order",IF(AND(D265&gt;0,C265&lt;=D265),"Order now","OK")))))</f>
        <v/>
      </c>
      <c r="C265" s="31">
        <f>IF(A265="","",MAX(0,IF(_xlfn.MAXIFS(Log!$A$2:$A$1001,Log!$B$2:$B$1001,A265,Log!$C$2:$C$1001,"Count")&gt;N(S265),_xlfn.MAXIFS(Log!$D$2:$D$1001,Log!$B$2:$B$1001,A265,Log!$C$2:$C$1001,"Count",Log!$A$2:$A$1001,AA265),N(R265))+SUMIFS(Log!$D$2:$D$1001,Log!$B$2:$B$1001,A265,Log!$C$2:$C$1001,"Received",Log!$A$2:$A$1001,"&gt;"&amp;AA265)-SUMIFS(Log!$D$2:$D$1001,Log!$B$2:$B$1001,A265,Log!$C$2:$C$1001,"Used",Log!$A$2:$A$1001,"&gt;"&amp;AA265)+SUMIFS(Log!$D$2:$D$1001,Log!$B$2:$B$1001,A265,Log!$C$2:$C$1001,"Adjustment",Log!$A$2:$A$1001,"&gt;"&amp;AA265)))</f>
        <v/>
      </c>
      <c r="D265" s="32">
        <f>IF(A265="","",IF(X265&lt;&gt;"",X265,W265))</f>
        <v/>
      </c>
      <c r="E265" s="33">
        <f>IF(OR(A265="",N(O265)=0),"",C265/O265)</f>
        <v/>
      </c>
      <c r="F265" s="31">
        <f>IF(A265="","",MAX(0,N(T265)-SUMIFS(Log!$D$2:$D$1001,Log!$B$2:$B$1001,A265,Log!$C$2:$C$1001,"Received",Log!$A$2:$A$1001,"&gt;="&amp;N(U265))))</f>
        <v/>
      </c>
      <c r="G265" s="24" t="n"/>
      <c r="H265" s="24" t="n"/>
      <c r="I265" s="24" t="n"/>
      <c r="J265" s="24" t="n"/>
      <c r="K265" s="24" t="n"/>
      <c r="L265" s="34" t="n"/>
      <c r="M265" s="24" t="n"/>
      <c r="N265" s="24" t="n"/>
      <c r="O265" s="35" t="n"/>
      <c r="P265" s="25" t="n"/>
      <c r="Q265" s="36">
        <f>IF(A265="","",IF(P265&lt;&gt;"",P265,IFERROR(IF(N(INDEX(Suppliers!$E$5:$E$24,MATCH(H265,Suppliers!$B$5:$B$24,0)))&gt;0,INDEX(Suppliers!$E$5:$E$24,MATCH(H265,Suppliers!$B$5:$B$24,0)),5),5)))</f>
        <v/>
      </c>
      <c r="R265" s="35" t="n"/>
      <c r="S265" s="37" t="n"/>
      <c r="T265" s="25" t="n"/>
      <c r="U265" s="37" t="n"/>
      <c r="V265" s="37" t="n"/>
      <c r="W265" s="36">
        <f>IF(A265="","",ROUNDUP(N(O265)*(Q265/7+Settings!$C$5),0))</f>
        <v/>
      </c>
      <c r="X265" s="25" t="n"/>
      <c r="Y265" s="25" t="n"/>
      <c r="Z265" s="32">
        <f>IF(A265="","",IF(Y265&lt;&gt;"",Y265,MAX(1,ROUNDUP(N(O265)*Settings!$C$7,0))))</f>
        <v/>
      </c>
      <c r="AA265" s="38">
        <f>IF(A265="","",MAX(N(S265),_xlfn.MAXIFS(Log!$A$2:$A$1001,Log!$B$2:$B$1001,A265,Log!$C$2:$C$1001,"Count")))</f>
        <v/>
      </c>
      <c r="AB265" s="39">
        <f>IF(A265="","",Z265*N(L265))</f>
        <v/>
      </c>
      <c r="AC265" s="40">
        <f>IF(A265="","",N(O265)*52*N(L265))</f>
        <v/>
      </c>
      <c r="AD265" s="39">
        <f>IF(A265="","",C265*N(L265))</f>
        <v/>
      </c>
      <c r="AE265" s="41">
        <f>IF(A265="",0,IF(AND(OR(B265="Order now",B265="Critical"),F265=0),1,0))</f>
        <v/>
      </c>
      <c r="AF265" s="41">
        <f>IF(AE265=1,IFERROR(MATCH(H265,Suppliers!$B$5:$B$24,0),99)*1000+ROW(),"")</f>
        <v/>
      </c>
      <c r="AG265" s="41">
        <f>IF(AF265="","",COUNTIF('Stock list'!$AF$2:$AF$301,"&lt;"&amp;AF265)+1)</f>
        <v/>
      </c>
      <c r="AH265" s="41">
        <f>IF(A265="",0,IF(OR(AA265=0,AND(B265="OK",OR(C265&lt;=D265+N(O265)*Settings!$C$6,Settings!$C$10-AA265&gt;Settings!$C$8*7))),1,0))</f>
        <v/>
      </c>
      <c r="AI265" s="41">
        <f>IF(AH265=0,"",IF(AA265=0,"Never counted",IF(C265&lt;=D265+N(O265)*Settings!$C$6,"Near the reorder point","Not counted for "&amp;INT((Settings!$C$10-AA265)/7)&amp;" weeks")))</f>
        <v/>
      </c>
      <c r="AJ265" s="41">
        <f>IF(AH265=1,IFERROR(MATCH(M265,Settings!$G$19:$G$38,0),99)*1000+ROW(),"")</f>
        <v/>
      </c>
      <c r="AK265" s="41">
        <f>IF(AJ265="","",COUNTIF('Stock list'!$AJ$2:$AJ$301,"&lt;"&amp;AJ265)+1)</f>
        <v/>
      </c>
      <c r="AL265" s="41">
        <f>IF(OR(A265="",N(AC265)=0),"",AC265+ROW()/1000000)</f>
        <v/>
      </c>
    </row>
    <row r="266">
      <c r="A266" s="24" t="n"/>
      <c r="B266" s="30">
        <f>IF(A266="","",IF(AA266=0,"No count",IF(AND(N(O266)&gt;0,C266/O266*7&lt;Q266),"Critical",IF(F266&gt;0,"On order",IF(AND(D266&gt;0,C266&lt;=D266),"Order now","OK")))))</f>
        <v/>
      </c>
      <c r="C266" s="31">
        <f>IF(A266="","",MAX(0,IF(_xlfn.MAXIFS(Log!$A$2:$A$1001,Log!$B$2:$B$1001,A266,Log!$C$2:$C$1001,"Count")&gt;N(S266),_xlfn.MAXIFS(Log!$D$2:$D$1001,Log!$B$2:$B$1001,A266,Log!$C$2:$C$1001,"Count",Log!$A$2:$A$1001,AA266),N(R266))+SUMIFS(Log!$D$2:$D$1001,Log!$B$2:$B$1001,A266,Log!$C$2:$C$1001,"Received",Log!$A$2:$A$1001,"&gt;"&amp;AA266)-SUMIFS(Log!$D$2:$D$1001,Log!$B$2:$B$1001,A266,Log!$C$2:$C$1001,"Used",Log!$A$2:$A$1001,"&gt;"&amp;AA266)+SUMIFS(Log!$D$2:$D$1001,Log!$B$2:$B$1001,A266,Log!$C$2:$C$1001,"Adjustment",Log!$A$2:$A$1001,"&gt;"&amp;AA266)))</f>
        <v/>
      </c>
      <c r="D266" s="32">
        <f>IF(A266="","",IF(X266&lt;&gt;"",X266,W266))</f>
        <v/>
      </c>
      <c r="E266" s="33">
        <f>IF(OR(A266="",N(O266)=0),"",C266/O266)</f>
        <v/>
      </c>
      <c r="F266" s="31">
        <f>IF(A266="","",MAX(0,N(T266)-SUMIFS(Log!$D$2:$D$1001,Log!$B$2:$B$1001,A266,Log!$C$2:$C$1001,"Received",Log!$A$2:$A$1001,"&gt;="&amp;N(U266))))</f>
        <v/>
      </c>
      <c r="G266" s="24" t="n"/>
      <c r="H266" s="24" t="n"/>
      <c r="I266" s="24" t="n"/>
      <c r="J266" s="24" t="n"/>
      <c r="K266" s="24" t="n"/>
      <c r="L266" s="34" t="n"/>
      <c r="M266" s="24" t="n"/>
      <c r="N266" s="24" t="n"/>
      <c r="O266" s="35" t="n"/>
      <c r="P266" s="25" t="n"/>
      <c r="Q266" s="36">
        <f>IF(A266="","",IF(P266&lt;&gt;"",P266,IFERROR(IF(N(INDEX(Suppliers!$E$5:$E$24,MATCH(H266,Suppliers!$B$5:$B$24,0)))&gt;0,INDEX(Suppliers!$E$5:$E$24,MATCH(H266,Suppliers!$B$5:$B$24,0)),5),5)))</f>
        <v/>
      </c>
      <c r="R266" s="35" t="n"/>
      <c r="S266" s="37" t="n"/>
      <c r="T266" s="25" t="n"/>
      <c r="U266" s="37" t="n"/>
      <c r="V266" s="37" t="n"/>
      <c r="W266" s="36">
        <f>IF(A266="","",ROUNDUP(N(O266)*(Q266/7+Settings!$C$5),0))</f>
        <v/>
      </c>
      <c r="X266" s="25" t="n"/>
      <c r="Y266" s="25" t="n"/>
      <c r="Z266" s="32">
        <f>IF(A266="","",IF(Y266&lt;&gt;"",Y266,MAX(1,ROUNDUP(N(O266)*Settings!$C$7,0))))</f>
        <v/>
      </c>
      <c r="AA266" s="38">
        <f>IF(A266="","",MAX(N(S266),_xlfn.MAXIFS(Log!$A$2:$A$1001,Log!$B$2:$B$1001,A266,Log!$C$2:$C$1001,"Count")))</f>
        <v/>
      </c>
      <c r="AB266" s="39">
        <f>IF(A266="","",Z266*N(L266))</f>
        <v/>
      </c>
      <c r="AC266" s="40">
        <f>IF(A266="","",N(O266)*52*N(L266))</f>
        <v/>
      </c>
      <c r="AD266" s="39">
        <f>IF(A266="","",C266*N(L266))</f>
        <v/>
      </c>
      <c r="AE266" s="41">
        <f>IF(A266="",0,IF(AND(OR(B266="Order now",B266="Critical"),F266=0),1,0))</f>
        <v/>
      </c>
      <c r="AF266" s="41">
        <f>IF(AE266=1,IFERROR(MATCH(H266,Suppliers!$B$5:$B$24,0),99)*1000+ROW(),"")</f>
        <v/>
      </c>
      <c r="AG266" s="41">
        <f>IF(AF266="","",COUNTIF('Stock list'!$AF$2:$AF$301,"&lt;"&amp;AF266)+1)</f>
        <v/>
      </c>
      <c r="AH266" s="41">
        <f>IF(A266="",0,IF(OR(AA266=0,AND(B266="OK",OR(C266&lt;=D266+N(O266)*Settings!$C$6,Settings!$C$10-AA266&gt;Settings!$C$8*7))),1,0))</f>
        <v/>
      </c>
      <c r="AI266" s="41">
        <f>IF(AH266=0,"",IF(AA266=0,"Never counted",IF(C266&lt;=D266+N(O266)*Settings!$C$6,"Near the reorder point","Not counted for "&amp;INT((Settings!$C$10-AA266)/7)&amp;" weeks")))</f>
        <v/>
      </c>
      <c r="AJ266" s="41">
        <f>IF(AH266=1,IFERROR(MATCH(M266,Settings!$G$19:$G$38,0),99)*1000+ROW(),"")</f>
        <v/>
      </c>
      <c r="AK266" s="41">
        <f>IF(AJ266="","",COUNTIF('Stock list'!$AJ$2:$AJ$301,"&lt;"&amp;AJ266)+1)</f>
        <v/>
      </c>
      <c r="AL266" s="41">
        <f>IF(OR(A266="",N(AC266)=0),"",AC266+ROW()/1000000)</f>
        <v/>
      </c>
    </row>
    <row r="267">
      <c r="A267" s="24" t="n"/>
      <c r="B267" s="30">
        <f>IF(A267="","",IF(AA267=0,"No count",IF(AND(N(O267)&gt;0,C267/O267*7&lt;Q267),"Critical",IF(F267&gt;0,"On order",IF(AND(D267&gt;0,C267&lt;=D267),"Order now","OK")))))</f>
        <v/>
      </c>
      <c r="C267" s="31">
        <f>IF(A267="","",MAX(0,IF(_xlfn.MAXIFS(Log!$A$2:$A$1001,Log!$B$2:$B$1001,A267,Log!$C$2:$C$1001,"Count")&gt;N(S267),_xlfn.MAXIFS(Log!$D$2:$D$1001,Log!$B$2:$B$1001,A267,Log!$C$2:$C$1001,"Count",Log!$A$2:$A$1001,AA267),N(R267))+SUMIFS(Log!$D$2:$D$1001,Log!$B$2:$B$1001,A267,Log!$C$2:$C$1001,"Received",Log!$A$2:$A$1001,"&gt;"&amp;AA267)-SUMIFS(Log!$D$2:$D$1001,Log!$B$2:$B$1001,A267,Log!$C$2:$C$1001,"Used",Log!$A$2:$A$1001,"&gt;"&amp;AA267)+SUMIFS(Log!$D$2:$D$1001,Log!$B$2:$B$1001,A267,Log!$C$2:$C$1001,"Adjustment",Log!$A$2:$A$1001,"&gt;"&amp;AA267)))</f>
        <v/>
      </c>
      <c r="D267" s="32">
        <f>IF(A267="","",IF(X267&lt;&gt;"",X267,W267))</f>
        <v/>
      </c>
      <c r="E267" s="33">
        <f>IF(OR(A267="",N(O267)=0),"",C267/O267)</f>
        <v/>
      </c>
      <c r="F267" s="31">
        <f>IF(A267="","",MAX(0,N(T267)-SUMIFS(Log!$D$2:$D$1001,Log!$B$2:$B$1001,A267,Log!$C$2:$C$1001,"Received",Log!$A$2:$A$1001,"&gt;="&amp;N(U267))))</f>
        <v/>
      </c>
      <c r="G267" s="24" t="n"/>
      <c r="H267" s="24" t="n"/>
      <c r="I267" s="24" t="n"/>
      <c r="J267" s="24" t="n"/>
      <c r="K267" s="24" t="n"/>
      <c r="L267" s="34" t="n"/>
      <c r="M267" s="24" t="n"/>
      <c r="N267" s="24" t="n"/>
      <c r="O267" s="35" t="n"/>
      <c r="P267" s="25" t="n"/>
      <c r="Q267" s="36">
        <f>IF(A267="","",IF(P267&lt;&gt;"",P267,IFERROR(IF(N(INDEX(Suppliers!$E$5:$E$24,MATCH(H267,Suppliers!$B$5:$B$24,0)))&gt;0,INDEX(Suppliers!$E$5:$E$24,MATCH(H267,Suppliers!$B$5:$B$24,0)),5),5)))</f>
        <v/>
      </c>
      <c r="R267" s="35" t="n"/>
      <c r="S267" s="37" t="n"/>
      <c r="T267" s="25" t="n"/>
      <c r="U267" s="37" t="n"/>
      <c r="V267" s="37" t="n"/>
      <c r="W267" s="36">
        <f>IF(A267="","",ROUNDUP(N(O267)*(Q267/7+Settings!$C$5),0))</f>
        <v/>
      </c>
      <c r="X267" s="25" t="n"/>
      <c r="Y267" s="25" t="n"/>
      <c r="Z267" s="32">
        <f>IF(A267="","",IF(Y267&lt;&gt;"",Y267,MAX(1,ROUNDUP(N(O267)*Settings!$C$7,0))))</f>
        <v/>
      </c>
      <c r="AA267" s="38">
        <f>IF(A267="","",MAX(N(S267),_xlfn.MAXIFS(Log!$A$2:$A$1001,Log!$B$2:$B$1001,A267,Log!$C$2:$C$1001,"Count")))</f>
        <v/>
      </c>
      <c r="AB267" s="39">
        <f>IF(A267="","",Z267*N(L267))</f>
        <v/>
      </c>
      <c r="AC267" s="40">
        <f>IF(A267="","",N(O267)*52*N(L267))</f>
        <v/>
      </c>
      <c r="AD267" s="39">
        <f>IF(A267="","",C267*N(L267))</f>
        <v/>
      </c>
      <c r="AE267" s="41">
        <f>IF(A267="",0,IF(AND(OR(B267="Order now",B267="Critical"),F267=0),1,0))</f>
        <v/>
      </c>
      <c r="AF267" s="41">
        <f>IF(AE267=1,IFERROR(MATCH(H267,Suppliers!$B$5:$B$24,0),99)*1000+ROW(),"")</f>
        <v/>
      </c>
      <c r="AG267" s="41">
        <f>IF(AF267="","",COUNTIF('Stock list'!$AF$2:$AF$301,"&lt;"&amp;AF267)+1)</f>
        <v/>
      </c>
      <c r="AH267" s="41">
        <f>IF(A267="",0,IF(OR(AA267=0,AND(B267="OK",OR(C267&lt;=D267+N(O267)*Settings!$C$6,Settings!$C$10-AA267&gt;Settings!$C$8*7))),1,0))</f>
        <v/>
      </c>
      <c r="AI267" s="41">
        <f>IF(AH267=0,"",IF(AA267=0,"Never counted",IF(C267&lt;=D267+N(O267)*Settings!$C$6,"Near the reorder point","Not counted for "&amp;INT((Settings!$C$10-AA267)/7)&amp;" weeks")))</f>
        <v/>
      </c>
      <c r="AJ267" s="41">
        <f>IF(AH267=1,IFERROR(MATCH(M267,Settings!$G$19:$G$38,0),99)*1000+ROW(),"")</f>
        <v/>
      </c>
      <c r="AK267" s="41">
        <f>IF(AJ267="","",COUNTIF('Stock list'!$AJ$2:$AJ$301,"&lt;"&amp;AJ267)+1)</f>
        <v/>
      </c>
      <c r="AL267" s="41">
        <f>IF(OR(A267="",N(AC267)=0),"",AC267+ROW()/1000000)</f>
        <v/>
      </c>
    </row>
    <row r="268">
      <c r="A268" s="24" t="n"/>
      <c r="B268" s="30">
        <f>IF(A268="","",IF(AA268=0,"No count",IF(AND(N(O268)&gt;0,C268/O268*7&lt;Q268),"Critical",IF(F268&gt;0,"On order",IF(AND(D268&gt;0,C268&lt;=D268),"Order now","OK")))))</f>
        <v/>
      </c>
      <c r="C268" s="31">
        <f>IF(A268="","",MAX(0,IF(_xlfn.MAXIFS(Log!$A$2:$A$1001,Log!$B$2:$B$1001,A268,Log!$C$2:$C$1001,"Count")&gt;N(S268),_xlfn.MAXIFS(Log!$D$2:$D$1001,Log!$B$2:$B$1001,A268,Log!$C$2:$C$1001,"Count",Log!$A$2:$A$1001,AA268),N(R268))+SUMIFS(Log!$D$2:$D$1001,Log!$B$2:$B$1001,A268,Log!$C$2:$C$1001,"Received",Log!$A$2:$A$1001,"&gt;"&amp;AA268)-SUMIFS(Log!$D$2:$D$1001,Log!$B$2:$B$1001,A268,Log!$C$2:$C$1001,"Used",Log!$A$2:$A$1001,"&gt;"&amp;AA268)+SUMIFS(Log!$D$2:$D$1001,Log!$B$2:$B$1001,A268,Log!$C$2:$C$1001,"Adjustment",Log!$A$2:$A$1001,"&gt;"&amp;AA268)))</f>
        <v/>
      </c>
      <c r="D268" s="32">
        <f>IF(A268="","",IF(X268&lt;&gt;"",X268,W268))</f>
        <v/>
      </c>
      <c r="E268" s="33">
        <f>IF(OR(A268="",N(O268)=0),"",C268/O268)</f>
        <v/>
      </c>
      <c r="F268" s="31">
        <f>IF(A268="","",MAX(0,N(T268)-SUMIFS(Log!$D$2:$D$1001,Log!$B$2:$B$1001,A268,Log!$C$2:$C$1001,"Received",Log!$A$2:$A$1001,"&gt;="&amp;N(U268))))</f>
        <v/>
      </c>
      <c r="G268" s="24" t="n"/>
      <c r="H268" s="24" t="n"/>
      <c r="I268" s="24" t="n"/>
      <c r="J268" s="24" t="n"/>
      <c r="K268" s="24" t="n"/>
      <c r="L268" s="34" t="n"/>
      <c r="M268" s="24" t="n"/>
      <c r="N268" s="24" t="n"/>
      <c r="O268" s="35" t="n"/>
      <c r="P268" s="25" t="n"/>
      <c r="Q268" s="36">
        <f>IF(A268="","",IF(P268&lt;&gt;"",P268,IFERROR(IF(N(INDEX(Suppliers!$E$5:$E$24,MATCH(H268,Suppliers!$B$5:$B$24,0)))&gt;0,INDEX(Suppliers!$E$5:$E$24,MATCH(H268,Suppliers!$B$5:$B$24,0)),5),5)))</f>
        <v/>
      </c>
      <c r="R268" s="35" t="n"/>
      <c r="S268" s="37" t="n"/>
      <c r="T268" s="25" t="n"/>
      <c r="U268" s="37" t="n"/>
      <c r="V268" s="37" t="n"/>
      <c r="W268" s="36">
        <f>IF(A268="","",ROUNDUP(N(O268)*(Q268/7+Settings!$C$5),0))</f>
        <v/>
      </c>
      <c r="X268" s="25" t="n"/>
      <c r="Y268" s="25" t="n"/>
      <c r="Z268" s="32">
        <f>IF(A268="","",IF(Y268&lt;&gt;"",Y268,MAX(1,ROUNDUP(N(O268)*Settings!$C$7,0))))</f>
        <v/>
      </c>
      <c r="AA268" s="38">
        <f>IF(A268="","",MAX(N(S268),_xlfn.MAXIFS(Log!$A$2:$A$1001,Log!$B$2:$B$1001,A268,Log!$C$2:$C$1001,"Count")))</f>
        <v/>
      </c>
      <c r="AB268" s="39">
        <f>IF(A268="","",Z268*N(L268))</f>
        <v/>
      </c>
      <c r="AC268" s="40">
        <f>IF(A268="","",N(O268)*52*N(L268))</f>
        <v/>
      </c>
      <c r="AD268" s="39">
        <f>IF(A268="","",C268*N(L268))</f>
        <v/>
      </c>
      <c r="AE268" s="41">
        <f>IF(A268="",0,IF(AND(OR(B268="Order now",B268="Critical"),F268=0),1,0))</f>
        <v/>
      </c>
      <c r="AF268" s="41">
        <f>IF(AE268=1,IFERROR(MATCH(H268,Suppliers!$B$5:$B$24,0),99)*1000+ROW(),"")</f>
        <v/>
      </c>
      <c r="AG268" s="41">
        <f>IF(AF268="","",COUNTIF('Stock list'!$AF$2:$AF$301,"&lt;"&amp;AF268)+1)</f>
        <v/>
      </c>
      <c r="AH268" s="41">
        <f>IF(A268="",0,IF(OR(AA268=0,AND(B268="OK",OR(C268&lt;=D268+N(O268)*Settings!$C$6,Settings!$C$10-AA268&gt;Settings!$C$8*7))),1,0))</f>
        <v/>
      </c>
      <c r="AI268" s="41">
        <f>IF(AH268=0,"",IF(AA268=0,"Never counted",IF(C268&lt;=D268+N(O268)*Settings!$C$6,"Near the reorder point","Not counted for "&amp;INT((Settings!$C$10-AA268)/7)&amp;" weeks")))</f>
        <v/>
      </c>
      <c r="AJ268" s="41">
        <f>IF(AH268=1,IFERROR(MATCH(M268,Settings!$G$19:$G$38,0),99)*1000+ROW(),"")</f>
        <v/>
      </c>
      <c r="AK268" s="41">
        <f>IF(AJ268="","",COUNTIF('Stock list'!$AJ$2:$AJ$301,"&lt;"&amp;AJ268)+1)</f>
        <v/>
      </c>
      <c r="AL268" s="41">
        <f>IF(OR(A268="",N(AC268)=0),"",AC268+ROW()/1000000)</f>
        <v/>
      </c>
    </row>
    <row r="269">
      <c r="A269" s="24" t="n"/>
      <c r="B269" s="30">
        <f>IF(A269="","",IF(AA269=0,"No count",IF(AND(N(O269)&gt;0,C269/O269*7&lt;Q269),"Critical",IF(F269&gt;0,"On order",IF(AND(D269&gt;0,C269&lt;=D269),"Order now","OK")))))</f>
        <v/>
      </c>
      <c r="C269" s="31">
        <f>IF(A269="","",MAX(0,IF(_xlfn.MAXIFS(Log!$A$2:$A$1001,Log!$B$2:$B$1001,A269,Log!$C$2:$C$1001,"Count")&gt;N(S269),_xlfn.MAXIFS(Log!$D$2:$D$1001,Log!$B$2:$B$1001,A269,Log!$C$2:$C$1001,"Count",Log!$A$2:$A$1001,AA269),N(R269))+SUMIFS(Log!$D$2:$D$1001,Log!$B$2:$B$1001,A269,Log!$C$2:$C$1001,"Received",Log!$A$2:$A$1001,"&gt;"&amp;AA269)-SUMIFS(Log!$D$2:$D$1001,Log!$B$2:$B$1001,A269,Log!$C$2:$C$1001,"Used",Log!$A$2:$A$1001,"&gt;"&amp;AA269)+SUMIFS(Log!$D$2:$D$1001,Log!$B$2:$B$1001,A269,Log!$C$2:$C$1001,"Adjustment",Log!$A$2:$A$1001,"&gt;"&amp;AA269)))</f>
        <v/>
      </c>
      <c r="D269" s="32">
        <f>IF(A269="","",IF(X269&lt;&gt;"",X269,W269))</f>
        <v/>
      </c>
      <c r="E269" s="33">
        <f>IF(OR(A269="",N(O269)=0),"",C269/O269)</f>
        <v/>
      </c>
      <c r="F269" s="31">
        <f>IF(A269="","",MAX(0,N(T269)-SUMIFS(Log!$D$2:$D$1001,Log!$B$2:$B$1001,A269,Log!$C$2:$C$1001,"Received",Log!$A$2:$A$1001,"&gt;="&amp;N(U269))))</f>
        <v/>
      </c>
      <c r="G269" s="24" t="n"/>
      <c r="H269" s="24" t="n"/>
      <c r="I269" s="24" t="n"/>
      <c r="J269" s="24" t="n"/>
      <c r="K269" s="24" t="n"/>
      <c r="L269" s="34" t="n"/>
      <c r="M269" s="24" t="n"/>
      <c r="N269" s="24" t="n"/>
      <c r="O269" s="35" t="n"/>
      <c r="P269" s="25" t="n"/>
      <c r="Q269" s="36">
        <f>IF(A269="","",IF(P269&lt;&gt;"",P269,IFERROR(IF(N(INDEX(Suppliers!$E$5:$E$24,MATCH(H269,Suppliers!$B$5:$B$24,0)))&gt;0,INDEX(Suppliers!$E$5:$E$24,MATCH(H269,Suppliers!$B$5:$B$24,0)),5),5)))</f>
        <v/>
      </c>
      <c r="R269" s="35" t="n"/>
      <c r="S269" s="37" t="n"/>
      <c r="T269" s="25" t="n"/>
      <c r="U269" s="37" t="n"/>
      <c r="V269" s="37" t="n"/>
      <c r="W269" s="36">
        <f>IF(A269="","",ROUNDUP(N(O269)*(Q269/7+Settings!$C$5),0))</f>
        <v/>
      </c>
      <c r="X269" s="25" t="n"/>
      <c r="Y269" s="25" t="n"/>
      <c r="Z269" s="32">
        <f>IF(A269="","",IF(Y269&lt;&gt;"",Y269,MAX(1,ROUNDUP(N(O269)*Settings!$C$7,0))))</f>
        <v/>
      </c>
      <c r="AA269" s="38">
        <f>IF(A269="","",MAX(N(S269),_xlfn.MAXIFS(Log!$A$2:$A$1001,Log!$B$2:$B$1001,A269,Log!$C$2:$C$1001,"Count")))</f>
        <v/>
      </c>
      <c r="AB269" s="39">
        <f>IF(A269="","",Z269*N(L269))</f>
        <v/>
      </c>
      <c r="AC269" s="40">
        <f>IF(A269="","",N(O269)*52*N(L269))</f>
        <v/>
      </c>
      <c r="AD269" s="39">
        <f>IF(A269="","",C269*N(L269))</f>
        <v/>
      </c>
      <c r="AE269" s="41">
        <f>IF(A269="",0,IF(AND(OR(B269="Order now",B269="Critical"),F269=0),1,0))</f>
        <v/>
      </c>
      <c r="AF269" s="41">
        <f>IF(AE269=1,IFERROR(MATCH(H269,Suppliers!$B$5:$B$24,0),99)*1000+ROW(),"")</f>
        <v/>
      </c>
      <c r="AG269" s="41">
        <f>IF(AF269="","",COUNTIF('Stock list'!$AF$2:$AF$301,"&lt;"&amp;AF269)+1)</f>
        <v/>
      </c>
      <c r="AH269" s="41">
        <f>IF(A269="",0,IF(OR(AA269=0,AND(B269="OK",OR(C269&lt;=D269+N(O269)*Settings!$C$6,Settings!$C$10-AA269&gt;Settings!$C$8*7))),1,0))</f>
        <v/>
      </c>
      <c r="AI269" s="41">
        <f>IF(AH269=0,"",IF(AA269=0,"Never counted",IF(C269&lt;=D269+N(O269)*Settings!$C$6,"Near the reorder point","Not counted for "&amp;INT((Settings!$C$10-AA269)/7)&amp;" weeks")))</f>
        <v/>
      </c>
      <c r="AJ269" s="41">
        <f>IF(AH269=1,IFERROR(MATCH(M269,Settings!$G$19:$G$38,0),99)*1000+ROW(),"")</f>
        <v/>
      </c>
      <c r="AK269" s="41">
        <f>IF(AJ269="","",COUNTIF('Stock list'!$AJ$2:$AJ$301,"&lt;"&amp;AJ269)+1)</f>
        <v/>
      </c>
      <c r="AL269" s="41">
        <f>IF(OR(A269="",N(AC269)=0),"",AC269+ROW()/1000000)</f>
        <v/>
      </c>
    </row>
    <row r="270">
      <c r="A270" s="24" t="n"/>
      <c r="B270" s="30">
        <f>IF(A270="","",IF(AA270=0,"No count",IF(AND(N(O270)&gt;0,C270/O270*7&lt;Q270),"Critical",IF(F270&gt;0,"On order",IF(AND(D270&gt;0,C270&lt;=D270),"Order now","OK")))))</f>
        <v/>
      </c>
      <c r="C270" s="31">
        <f>IF(A270="","",MAX(0,IF(_xlfn.MAXIFS(Log!$A$2:$A$1001,Log!$B$2:$B$1001,A270,Log!$C$2:$C$1001,"Count")&gt;N(S270),_xlfn.MAXIFS(Log!$D$2:$D$1001,Log!$B$2:$B$1001,A270,Log!$C$2:$C$1001,"Count",Log!$A$2:$A$1001,AA270),N(R270))+SUMIFS(Log!$D$2:$D$1001,Log!$B$2:$B$1001,A270,Log!$C$2:$C$1001,"Received",Log!$A$2:$A$1001,"&gt;"&amp;AA270)-SUMIFS(Log!$D$2:$D$1001,Log!$B$2:$B$1001,A270,Log!$C$2:$C$1001,"Used",Log!$A$2:$A$1001,"&gt;"&amp;AA270)+SUMIFS(Log!$D$2:$D$1001,Log!$B$2:$B$1001,A270,Log!$C$2:$C$1001,"Adjustment",Log!$A$2:$A$1001,"&gt;"&amp;AA270)))</f>
        <v/>
      </c>
      <c r="D270" s="32">
        <f>IF(A270="","",IF(X270&lt;&gt;"",X270,W270))</f>
        <v/>
      </c>
      <c r="E270" s="33">
        <f>IF(OR(A270="",N(O270)=0),"",C270/O270)</f>
        <v/>
      </c>
      <c r="F270" s="31">
        <f>IF(A270="","",MAX(0,N(T270)-SUMIFS(Log!$D$2:$D$1001,Log!$B$2:$B$1001,A270,Log!$C$2:$C$1001,"Received",Log!$A$2:$A$1001,"&gt;="&amp;N(U270))))</f>
        <v/>
      </c>
      <c r="G270" s="24" t="n"/>
      <c r="H270" s="24" t="n"/>
      <c r="I270" s="24" t="n"/>
      <c r="J270" s="24" t="n"/>
      <c r="K270" s="24" t="n"/>
      <c r="L270" s="34" t="n"/>
      <c r="M270" s="24" t="n"/>
      <c r="N270" s="24" t="n"/>
      <c r="O270" s="35" t="n"/>
      <c r="P270" s="25" t="n"/>
      <c r="Q270" s="36">
        <f>IF(A270="","",IF(P270&lt;&gt;"",P270,IFERROR(IF(N(INDEX(Suppliers!$E$5:$E$24,MATCH(H270,Suppliers!$B$5:$B$24,0)))&gt;0,INDEX(Suppliers!$E$5:$E$24,MATCH(H270,Suppliers!$B$5:$B$24,0)),5),5)))</f>
        <v/>
      </c>
      <c r="R270" s="35" t="n"/>
      <c r="S270" s="37" t="n"/>
      <c r="T270" s="25" t="n"/>
      <c r="U270" s="37" t="n"/>
      <c r="V270" s="37" t="n"/>
      <c r="W270" s="36">
        <f>IF(A270="","",ROUNDUP(N(O270)*(Q270/7+Settings!$C$5),0))</f>
        <v/>
      </c>
      <c r="X270" s="25" t="n"/>
      <c r="Y270" s="25" t="n"/>
      <c r="Z270" s="32">
        <f>IF(A270="","",IF(Y270&lt;&gt;"",Y270,MAX(1,ROUNDUP(N(O270)*Settings!$C$7,0))))</f>
        <v/>
      </c>
      <c r="AA270" s="38">
        <f>IF(A270="","",MAX(N(S270),_xlfn.MAXIFS(Log!$A$2:$A$1001,Log!$B$2:$B$1001,A270,Log!$C$2:$C$1001,"Count")))</f>
        <v/>
      </c>
      <c r="AB270" s="39">
        <f>IF(A270="","",Z270*N(L270))</f>
        <v/>
      </c>
      <c r="AC270" s="40">
        <f>IF(A270="","",N(O270)*52*N(L270))</f>
        <v/>
      </c>
      <c r="AD270" s="39">
        <f>IF(A270="","",C270*N(L270))</f>
        <v/>
      </c>
      <c r="AE270" s="41">
        <f>IF(A270="",0,IF(AND(OR(B270="Order now",B270="Critical"),F270=0),1,0))</f>
        <v/>
      </c>
      <c r="AF270" s="41">
        <f>IF(AE270=1,IFERROR(MATCH(H270,Suppliers!$B$5:$B$24,0),99)*1000+ROW(),"")</f>
        <v/>
      </c>
      <c r="AG270" s="41">
        <f>IF(AF270="","",COUNTIF('Stock list'!$AF$2:$AF$301,"&lt;"&amp;AF270)+1)</f>
        <v/>
      </c>
      <c r="AH270" s="41">
        <f>IF(A270="",0,IF(OR(AA270=0,AND(B270="OK",OR(C270&lt;=D270+N(O270)*Settings!$C$6,Settings!$C$10-AA270&gt;Settings!$C$8*7))),1,0))</f>
        <v/>
      </c>
      <c r="AI270" s="41">
        <f>IF(AH270=0,"",IF(AA270=0,"Never counted",IF(C270&lt;=D270+N(O270)*Settings!$C$6,"Near the reorder point","Not counted for "&amp;INT((Settings!$C$10-AA270)/7)&amp;" weeks")))</f>
        <v/>
      </c>
      <c r="AJ270" s="41">
        <f>IF(AH270=1,IFERROR(MATCH(M270,Settings!$G$19:$G$38,0),99)*1000+ROW(),"")</f>
        <v/>
      </c>
      <c r="AK270" s="41">
        <f>IF(AJ270="","",COUNTIF('Stock list'!$AJ$2:$AJ$301,"&lt;"&amp;AJ270)+1)</f>
        <v/>
      </c>
      <c r="AL270" s="41">
        <f>IF(OR(A270="",N(AC270)=0),"",AC270+ROW()/1000000)</f>
        <v/>
      </c>
    </row>
    <row r="271">
      <c r="A271" s="24" t="n"/>
      <c r="B271" s="30">
        <f>IF(A271="","",IF(AA271=0,"No count",IF(AND(N(O271)&gt;0,C271/O271*7&lt;Q271),"Critical",IF(F271&gt;0,"On order",IF(AND(D271&gt;0,C271&lt;=D271),"Order now","OK")))))</f>
        <v/>
      </c>
      <c r="C271" s="31">
        <f>IF(A271="","",MAX(0,IF(_xlfn.MAXIFS(Log!$A$2:$A$1001,Log!$B$2:$B$1001,A271,Log!$C$2:$C$1001,"Count")&gt;N(S271),_xlfn.MAXIFS(Log!$D$2:$D$1001,Log!$B$2:$B$1001,A271,Log!$C$2:$C$1001,"Count",Log!$A$2:$A$1001,AA271),N(R271))+SUMIFS(Log!$D$2:$D$1001,Log!$B$2:$B$1001,A271,Log!$C$2:$C$1001,"Received",Log!$A$2:$A$1001,"&gt;"&amp;AA271)-SUMIFS(Log!$D$2:$D$1001,Log!$B$2:$B$1001,A271,Log!$C$2:$C$1001,"Used",Log!$A$2:$A$1001,"&gt;"&amp;AA271)+SUMIFS(Log!$D$2:$D$1001,Log!$B$2:$B$1001,A271,Log!$C$2:$C$1001,"Adjustment",Log!$A$2:$A$1001,"&gt;"&amp;AA271)))</f>
        <v/>
      </c>
      <c r="D271" s="32">
        <f>IF(A271="","",IF(X271&lt;&gt;"",X271,W271))</f>
        <v/>
      </c>
      <c r="E271" s="33">
        <f>IF(OR(A271="",N(O271)=0),"",C271/O271)</f>
        <v/>
      </c>
      <c r="F271" s="31">
        <f>IF(A271="","",MAX(0,N(T271)-SUMIFS(Log!$D$2:$D$1001,Log!$B$2:$B$1001,A271,Log!$C$2:$C$1001,"Received",Log!$A$2:$A$1001,"&gt;="&amp;N(U271))))</f>
        <v/>
      </c>
      <c r="G271" s="24" t="n"/>
      <c r="H271" s="24" t="n"/>
      <c r="I271" s="24" t="n"/>
      <c r="J271" s="24" t="n"/>
      <c r="K271" s="24" t="n"/>
      <c r="L271" s="34" t="n"/>
      <c r="M271" s="24" t="n"/>
      <c r="N271" s="24" t="n"/>
      <c r="O271" s="35" t="n"/>
      <c r="P271" s="25" t="n"/>
      <c r="Q271" s="36">
        <f>IF(A271="","",IF(P271&lt;&gt;"",P271,IFERROR(IF(N(INDEX(Suppliers!$E$5:$E$24,MATCH(H271,Suppliers!$B$5:$B$24,0)))&gt;0,INDEX(Suppliers!$E$5:$E$24,MATCH(H271,Suppliers!$B$5:$B$24,0)),5),5)))</f>
        <v/>
      </c>
      <c r="R271" s="35" t="n"/>
      <c r="S271" s="37" t="n"/>
      <c r="T271" s="25" t="n"/>
      <c r="U271" s="37" t="n"/>
      <c r="V271" s="37" t="n"/>
      <c r="W271" s="36">
        <f>IF(A271="","",ROUNDUP(N(O271)*(Q271/7+Settings!$C$5),0))</f>
        <v/>
      </c>
      <c r="X271" s="25" t="n"/>
      <c r="Y271" s="25" t="n"/>
      <c r="Z271" s="32">
        <f>IF(A271="","",IF(Y271&lt;&gt;"",Y271,MAX(1,ROUNDUP(N(O271)*Settings!$C$7,0))))</f>
        <v/>
      </c>
      <c r="AA271" s="38">
        <f>IF(A271="","",MAX(N(S271),_xlfn.MAXIFS(Log!$A$2:$A$1001,Log!$B$2:$B$1001,A271,Log!$C$2:$C$1001,"Count")))</f>
        <v/>
      </c>
      <c r="AB271" s="39">
        <f>IF(A271="","",Z271*N(L271))</f>
        <v/>
      </c>
      <c r="AC271" s="40">
        <f>IF(A271="","",N(O271)*52*N(L271))</f>
        <v/>
      </c>
      <c r="AD271" s="39">
        <f>IF(A271="","",C271*N(L271))</f>
        <v/>
      </c>
      <c r="AE271" s="41">
        <f>IF(A271="",0,IF(AND(OR(B271="Order now",B271="Critical"),F271=0),1,0))</f>
        <v/>
      </c>
      <c r="AF271" s="41">
        <f>IF(AE271=1,IFERROR(MATCH(H271,Suppliers!$B$5:$B$24,0),99)*1000+ROW(),"")</f>
        <v/>
      </c>
      <c r="AG271" s="41">
        <f>IF(AF271="","",COUNTIF('Stock list'!$AF$2:$AF$301,"&lt;"&amp;AF271)+1)</f>
        <v/>
      </c>
      <c r="AH271" s="41">
        <f>IF(A271="",0,IF(OR(AA271=0,AND(B271="OK",OR(C271&lt;=D271+N(O271)*Settings!$C$6,Settings!$C$10-AA271&gt;Settings!$C$8*7))),1,0))</f>
        <v/>
      </c>
      <c r="AI271" s="41">
        <f>IF(AH271=0,"",IF(AA271=0,"Never counted",IF(C271&lt;=D271+N(O271)*Settings!$C$6,"Near the reorder point","Not counted for "&amp;INT((Settings!$C$10-AA271)/7)&amp;" weeks")))</f>
        <v/>
      </c>
      <c r="AJ271" s="41">
        <f>IF(AH271=1,IFERROR(MATCH(M271,Settings!$G$19:$G$38,0),99)*1000+ROW(),"")</f>
        <v/>
      </c>
      <c r="AK271" s="41">
        <f>IF(AJ271="","",COUNTIF('Stock list'!$AJ$2:$AJ$301,"&lt;"&amp;AJ271)+1)</f>
        <v/>
      </c>
      <c r="AL271" s="41">
        <f>IF(OR(A271="",N(AC271)=0),"",AC271+ROW()/1000000)</f>
        <v/>
      </c>
    </row>
    <row r="272">
      <c r="A272" s="24" t="n"/>
      <c r="B272" s="30">
        <f>IF(A272="","",IF(AA272=0,"No count",IF(AND(N(O272)&gt;0,C272/O272*7&lt;Q272),"Critical",IF(F272&gt;0,"On order",IF(AND(D272&gt;0,C272&lt;=D272),"Order now","OK")))))</f>
        <v/>
      </c>
      <c r="C272" s="31">
        <f>IF(A272="","",MAX(0,IF(_xlfn.MAXIFS(Log!$A$2:$A$1001,Log!$B$2:$B$1001,A272,Log!$C$2:$C$1001,"Count")&gt;N(S272),_xlfn.MAXIFS(Log!$D$2:$D$1001,Log!$B$2:$B$1001,A272,Log!$C$2:$C$1001,"Count",Log!$A$2:$A$1001,AA272),N(R272))+SUMIFS(Log!$D$2:$D$1001,Log!$B$2:$B$1001,A272,Log!$C$2:$C$1001,"Received",Log!$A$2:$A$1001,"&gt;"&amp;AA272)-SUMIFS(Log!$D$2:$D$1001,Log!$B$2:$B$1001,A272,Log!$C$2:$C$1001,"Used",Log!$A$2:$A$1001,"&gt;"&amp;AA272)+SUMIFS(Log!$D$2:$D$1001,Log!$B$2:$B$1001,A272,Log!$C$2:$C$1001,"Adjustment",Log!$A$2:$A$1001,"&gt;"&amp;AA272)))</f>
        <v/>
      </c>
      <c r="D272" s="32">
        <f>IF(A272="","",IF(X272&lt;&gt;"",X272,W272))</f>
        <v/>
      </c>
      <c r="E272" s="33">
        <f>IF(OR(A272="",N(O272)=0),"",C272/O272)</f>
        <v/>
      </c>
      <c r="F272" s="31">
        <f>IF(A272="","",MAX(0,N(T272)-SUMIFS(Log!$D$2:$D$1001,Log!$B$2:$B$1001,A272,Log!$C$2:$C$1001,"Received",Log!$A$2:$A$1001,"&gt;="&amp;N(U272))))</f>
        <v/>
      </c>
      <c r="G272" s="24" t="n"/>
      <c r="H272" s="24" t="n"/>
      <c r="I272" s="24" t="n"/>
      <c r="J272" s="24" t="n"/>
      <c r="K272" s="24" t="n"/>
      <c r="L272" s="34" t="n"/>
      <c r="M272" s="24" t="n"/>
      <c r="N272" s="24" t="n"/>
      <c r="O272" s="35" t="n"/>
      <c r="P272" s="25" t="n"/>
      <c r="Q272" s="36">
        <f>IF(A272="","",IF(P272&lt;&gt;"",P272,IFERROR(IF(N(INDEX(Suppliers!$E$5:$E$24,MATCH(H272,Suppliers!$B$5:$B$24,0)))&gt;0,INDEX(Suppliers!$E$5:$E$24,MATCH(H272,Suppliers!$B$5:$B$24,0)),5),5)))</f>
        <v/>
      </c>
      <c r="R272" s="35" t="n"/>
      <c r="S272" s="37" t="n"/>
      <c r="T272" s="25" t="n"/>
      <c r="U272" s="37" t="n"/>
      <c r="V272" s="37" t="n"/>
      <c r="W272" s="36">
        <f>IF(A272="","",ROUNDUP(N(O272)*(Q272/7+Settings!$C$5),0))</f>
        <v/>
      </c>
      <c r="X272" s="25" t="n"/>
      <c r="Y272" s="25" t="n"/>
      <c r="Z272" s="32">
        <f>IF(A272="","",IF(Y272&lt;&gt;"",Y272,MAX(1,ROUNDUP(N(O272)*Settings!$C$7,0))))</f>
        <v/>
      </c>
      <c r="AA272" s="38">
        <f>IF(A272="","",MAX(N(S272),_xlfn.MAXIFS(Log!$A$2:$A$1001,Log!$B$2:$B$1001,A272,Log!$C$2:$C$1001,"Count")))</f>
        <v/>
      </c>
      <c r="AB272" s="39">
        <f>IF(A272="","",Z272*N(L272))</f>
        <v/>
      </c>
      <c r="AC272" s="40">
        <f>IF(A272="","",N(O272)*52*N(L272))</f>
        <v/>
      </c>
      <c r="AD272" s="39">
        <f>IF(A272="","",C272*N(L272))</f>
        <v/>
      </c>
      <c r="AE272" s="41">
        <f>IF(A272="",0,IF(AND(OR(B272="Order now",B272="Critical"),F272=0),1,0))</f>
        <v/>
      </c>
      <c r="AF272" s="41">
        <f>IF(AE272=1,IFERROR(MATCH(H272,Suppliers!$B$5:$B$24,0),99)*1000+ROW(),"")</f>
        <v/>
      </c>
      <c r="AG272" s="41">
        <f>IF(AF272="","",COUNTIF('Stock list'!$AF$2:$AF$301,"&lt;"&amp;AF272)+1)</f>
        <v/>
      </c>
      <c r="AH272" s="41">
        <f>IF(A272="",0,IF(OR(AA272=0,AND(B272="OK",OR(C272&lt;=D272+N(O272)*Settings!$C$6,Settings!$C$10-AA272&gt;Settings!$C$8*7))),1,0))</f>
        <v/>
      </c>
      <c r="AI272" s="41">
        <f>IF(AH272=0,"",IF(AA272=0,"Never counted",IF(C272&lt;=D272+N(O272)*Settings!$C$6,"Near the reorder point","Not counted for "&amp;INT((Settings!$C$10-AA272)/7)&amp;" weeks")))</f>
        <v/>
      </c>
      <c r="AJ272" s="41">
        <f>IF(AH272=1,IFERROR(MATCH(M272,Settings!$G$19:$G$38,0),99)*1000+ROW(),"")</f>
        <v/>
      </c>
      <c r="AK272" s="41">
        <f>IF(AJ272="","",COUNTIF('Stock list'!$AJ$2:$AJ$301,"&lt;"&amp;AJ272)+1)</f>
        <v/>
      </c>
      <c r="AL272" s="41">
        <f>IF(OR(A272="",N(AC272)=0),"",AC272+ROW()/1000000)</f>
        <v/>
      </c>
    </row>
    <row r="273">
      <c r="A273" s="24" t="n"/>
      <c r="B273" s="30">
        <f>IF(A273="","",IF(AA273=0,"No count",IF(AND(N(O273)&gt;0,C273/O273*7&lt;Q273),"Critical",IF(F273&gt;0,"On order",IF(AND(D273&gt;0,C273&lt;=D273),"Order now","OK")))))</f>
        <v/>
      </c>
      <c r="C273" s="31">
        <f>IF(A273="","",MAX(0,IF(_xlfn.MAXIFS(Log!$A$2:$A$1001,Log!$B$2:$B$1001,A273,Log!$C$2:$C$1001,"Count")&gt;N(S273),_xlfn.MAXIFS(Log!$D$2:$D$1001,Log!$B$2:$B$1001,A273,Log!$C$2:$C$1001,"Count",Log!$A$2:$A$1001,AA273),N(R273))+SUMIFS(Log!$D$2:$D$1001,Log!$B$2:$B$1001,A273,Log!$C$2:$C$1001,"Received",Log!$A$2:$A$1001,"&gt;"&amp;AA273)-SUMIFS(Log!$D$2:$D$1001,Log!$B$2:$B$1001,A273,Log!$C$2:$C$1001,"Used",Log!$A$2:$A$1001,"&gt;"&amp;AA273)+SUMIFS(Log!$D$2:$D$1001,Log!$B$2:$B$1001,A273,Log!$C$2:$C$1001,"Adjustment",Log!$A$2:$A$1001,"&gt;"&amp;AA273)))</f>
        <v/>
      </c>
      <c r="D273" s="32">
        <f>IF(A273="","",IF(X273&lt;&gt;"",X273,W273))</f>
        <v/>
      </c>
      <c r="E273" s="33">
        <f>IF(OR(A273="",N(O273)=0),"",C273/O273)</f>
        <v/>
      </c>
      <c r="F273" s="31">
        <f>IF(A273="","",MAX(0,N(T273)-SUMIFS(Log!$D$2:$D$1001,Log!$B$2:$B$1001,A273,Log!$C$2:$C$1001,"Received",Log!$A$2:$A$1001,"&gt;="&amp;N(U273))))</f>
        <v/>
      </c>
      <c r="G273" s="24" t="n"/>
      <c r="H273" s="24" t="n"/>
      <c r="I273" s="24" t="n"/>
      <c r="J273" s="24" t="n"/>
      <c r="K273" s="24" t="n"/>
      <c r="L273" s="34" t="n"/>
      <c r="M273" s="24" t="n"/>
      <c r="N273" s="24" t="n"/>
      <c r="O273" s="35" t="n"/>
      <c r="P273" s="25" t="n"/>
      <c r="Q273" s="36">
        <f>IF(A273="","",IF(P273&lt;&gt;"",P273,IFERROR(IF(N(INDEX(Suppliers!$E$5:$E$24,MATCH(H273,Suppliers!$B$5:$B$24,0)))&gt;0,INDEX(Suppliers!$E$5:$E$24,MATCH(H273,Suppliers!$B$5:$B$24,0)),5),5)))</f>
        <v/>
      </c>
      <c r="R273" s="35" t="n"/>
      <c r="S273" s="37" t="n"/>
      <c r="T273" s="25" t="n"/>
      <c r="U273" s="37" t="n"/>
      <c r="V273" s="37" t="n"/>
      <c r="W273" s="36">
        <f>IF(A273="","",ROUNDUP(N(O273)*(Q273/7+Settings!$C$5),0))</f>
        <v/>
      </c>
      <c r="X273" s="25" t="n"/>
      <c r="Y273" s="25" t="n"/>
      <c r="Z273" s="32">
        <f>IF(A273="","",IF(Y273&lt;&gt;"",Y273,MAX(1,ROUNDUP(N(O273)*Settings!$C$7,0))))</f>
        <v/>
      </c>
      <c r="AA273" s="38">
        <f>IF(A273="","",MAX(N(S273),_xlfn.MAXIFS(Log!$A$2:$A$1001,Log!$B$2:$B$1001,A273,Log!$C$2:$C$1001,"Count")))</f>
        <v/>
      </c>
      <c r="AB273" s="39">
        <f>IF(A273="","",Z273*N(L273))</f>
        <v/>
      </c>
      <c r="AC273" s="40">
        <f>IF(A273="","",N(O273)*52*N(L273))</f>
        <v/>
      </c>
      <c r="AD273" s="39">
        <f>IF(A273="","",C273*N(L273))</f>
        <v/>
      </c>
      <c r="AE273" s="41">
        <f>IF(A273="",0,IF(AND(OR(B273="Order now",B273="Critical"),F273=0),1,0))</f>
        <v/>
      </c>
      <c r="AF273" s="41">
        <f>IF(AE273=1,IFERROR(MATCH(H273,Suppliers!$B$5:$B$24,0),99)*1000+ROW(),"")</f>
        <v/>
      </c>
      <c r="AG273" s="41">
        <f>IF(AF273="","",COUNTIF('Stock list'!$AF$2:$AF$301,"&lt;"&amp;AF273)+1)</f>
        <v/>
      </c>
      <c r="AH273" s="41">
        <f>IF(A273="",0,IF(OR(AA273=0,AND(B273="OK",OR(C273&lt;=D273+N(O273)*Settings!$C$6,Settings!$C$10-AA273&gt;Settings!$C$8*7))),1,0))</f>
        <v/>
      </c>
      <c r="AI273" s="41">
        <f>IF(AH273=0,"",IF(AA273=0,"Never counted",IF(C273&lt;=D273+N(O273)*Settings!$C$6,"Near the reorder point","Not counted for "&amp;INT((Settings!$C$10-AA273)/7)&amp;" weeks")))</f>
        <v/>
      </c>
      <c r="AJ273" s="41">
        <f>IF(AH273=1,IFERROR(MATCH(M273,Settings!$G$19:$G$38,0),99)*1000+ROW(),"")</f>
        <v/>
      </c>
      <c r="AK273" s="41">
        <f>IF(AJ273="","",COUNTIF('Stock list'!$AJ$2:$AJ$301,"&lt;"&amp;AJ273)+1)</f>
        <v/>
      </c>
      <c r="AL273" s="41">
        <f>IF(OR(A273="",N(AC273)=0),"",AC273+ROW()/1000000)</f>
        <v/>
      </c>
    </row>
    <row r="274">
      <c r="A274" s="24" t="n"/>
      <c r="B274" s="30">
        <f>IF(A274="","",IF(AA274=0,"No count",IF(AND(N(O274)&gt;0,C274/O274*7&lt;Q274),"Critical",IF(F274&gt;0,"On order",IF(AND(D274&gt;0,C274&lt;=D274),"Order now","OK")))))</f>
        <v/>
      </c>
      <c r="C274" s="31">
        <f>IF(A274="","",MAX(0,IF(_xlfn.MAXIFS(Log!$A$2:$A$1001,Log!$B$2:$B$1001,A274,Log!$C$2:$C$1001,"Count")&gt;N(S274),_xlfn.MAXIFS(Log!$D$2:$D$1001,Log!$B$2:$B$1001,A274,Log!$C$2:$C$1001,"Count",Log!$A$2:$A$1001,AA274),N(R274))+SUMIFS(Log!$D$2:$D$1001,Log!$B$2:$B$1001,A274,Log!$C$2:$C$1001,"Received",Log!$A$2:$A$1001,"&gt;"&amp;AA274)-SUMIFS(Log!$D$2:$D$1001,Log!$B$2:$B$1001,A274,Log!$C$2:$C$1001,"Used",Log!$A$2:$A$1001,"&gt;"&amp;AA274)+SUMIFS(Log!$D$2:$D$1001,Log!$B$2:$B$1001,A274,Log!$C$2:$C$1001,"Adjustment",Log!$A$2:$A$1001,"&gt;"&amp;AA274)))</f>
        <v/>
      </c>
      <c r="D274" s="32">
        <f>IF(A274="","",IF(X274&lt;&gt;"",X274,W274))</f>
        <v/>
      </c>
      <c r="E274" s="33">
        <f>IF(OR(A274="",N(O274)=0),"",C274/O274)</f>
        <v/>
      </c>
      <c r="F274" s="31">
        <f>IF(A274="","",MAX(0,N(T274)-SUMIFS(Log!$D$2:$D$1001,Log!$B$2:$B$1001,A274,Log!$C$2:$C$1001,"Received",Log!$A$2:$A$1001,"&gt;="&amp;N(U274))))</f>
        <v/>
      </c>
      <c r="G274" s="24" t="n"/>
      <c r="H274" s="24" t="n"/>
      <c r="I274" s="24" t="n"/>
      <c r="J274" s="24" t="n"/>
      <c r="K274" s="24" t="n"/>
      <c r="L274" s="34" t="n"/>
      <c r="M274" s="24" t="n"/>
      <c r="N274" s="24" t="n"/>
      <c r="O274" s="35" t="n"/>
      <c r="P274" s="25" t="n"/>
      <c r="Q274" s="36">
        <f>IF(A274="","",IF(P274&lt;&gt;"",P274,IFERROR(IF(N(INDEX(Suppliers!$E$5:$E$24,MATCH(H274,Suppliers!$B$5:$B$24,0)))&gt;0,INDEX(Suppliers!$E$5:$E$24,MATCH(H274,Suppliers!$B$5:$B$24,0)),5),5)))</f>
        <v/>
      </c>
      <c r="R274" s="35" t="n"/>
      <c r="S274" s="37" t="n"/>
      <c r="T274" s="25" t="n"/>
      <c r="U274" s="37" t="n"/>
      <c r="V274" s="37" t="n"/>
      <c r="W274" s="36">
        <f>IF(A274="","",ROUNDUP(N(O274)*(Q274/7+Settings!$C$5),0))</f>
        <v/>
      </c>
      <c r="X274" s="25" t="n"/>
      <c r="Y274" s="25" t="n"/>
      <c r="Z274" s="32">
        <f>IF(A274="","",IF(Y274&lt;&gt;"",Y274,MAX(1,ROUNDUP(N(O274)*Settings!$C$7,0))))</f>
        <v/>
      </c>
      <c r="AA274" s="38">
        <f>IF(A274="","",MAX(N(S274),_xlfn.MAXIFS(Log!$A$2:$A$1001,Log!$B$2:$B$1001,A274,Log!$C$2:$C$1001,"Count")))</f>
        <v/>
      </c>
      <c r="AB274" s="39">
        <f>IF(A274="","",Z274*N(L274))</f>
        <v/>
      </c>
      <c r="AC274" s="40">
        <f>IF(A274="","",N(O274)*52*N(L274))</f>
        <v/>
      </c>
      <c r="AD274" s="39">
        <f>IF(A274="","",C274*N(L274))</f>
        <v/>
      </c>
      <c r="AE274" s="41">
        <f>IF(A274="",0,IF(AND(OR(B274="Order now",B274="Critical"),F274=0),1,0))</f>
        <v/>
      </c>
      <c r="AF274" s="41">
        <f>IF(AE274=1,IFERROR(MATCH(H274,Suppliers!$B$5:$B$24,0),99)*1000+ROW(),"")</f>
        <v/>
      </c>
      <c r="AG274" s="41">
        <f>IF(AF274="","",COUNTIF('Stock list'!$AF$2:$AF$301,"&lt;"&amp;AF274)+1)</f>
        <v/>
      </c>
      <c r="AH274" s="41">
        <f>IF(A274="",0,IF(OR(AA274=0,AND(B274="OK",OR(C274&lt;=D274+N(O274)*Settings!$C$6,Settings!$C$10-AA274&gt;Settings!$C$8*7))),1,0))</f>
        <v/>
      </c>
      <c r="AI274" s="41">
        <f>IF(AH274=0,"",IF(AA274=0,"Never counted",IF(C274&lt;=D274+N(O274)*Settings!$C$6,"Near the reorder point","Not counted for "&amp;INT((Settings!$C$10-AA274)/7)&amp;" weeks")))</f>
        <v/>
      </c>
      <c r="AJ274" s="41">
        <f>IF(AH274=1,IFERROR(MATCH(M274,Settings!$G$19:$G$38,0),99)*1000+ROW(),"")</f>
        <v/>
      </c>
      <c r="AK274" s="41">
        <f>IF(AJ274="","",COUNTIF('Stock list'!$AJ$2:$AJ$301,"&lt;"&amp;AJ274)+1)</f>
        <v/>
      </c>
      <c r="AL274" s="41">
        <f>IF(OR(A274="",N(AC274)=0),"",AC274+ROW()/1000000)</f>
        <v/>
      </c>
    </row>
    <row r="275">
      <c r="A275" s="24" t="n"/>
      <c r="B275" s="30">
        <f>IF(A275="","",IF(AA275=0,"No count",IF(AND(N(O275)&gt;0,C275/O275*7&lt;Q275),"Critical",IF(F275&gt;0,"On order",IF(AND(D275&gt;0,C275&lt;=D275),"Order now","OK")))))</f>
        <v/>
      </c>
      <c r="C275" s="31">
        <f>IF(A275="","",MAX(0,IF(_xlfn.MAXIFS(Log!$A$2:$A$1001,Log!$B$2:$B$1001,A275,Log!$C$2:$C$1001,"Count")&gt;N(S275),_xlfn.MAXIFS(Log!$D$2:$D$1001,Log!$B$2:$B$1001,A275,Log!$C$2:$C$1001,"Count",Log!$A$2:$A$1001,AA275),N(R275))+SUMIFS(Log!$D$2:$D$1001,Log!$B$2:$B$1001,A275,Log!$C$2:$C$1001,"Received",Log!$A$2:$A$1001,"&gt;"&amp;AA275)-SUMIFS(Log!$D$2:$D$1001,Log!$B$2:$B$1001,A275,Log!$C$2:$C$1001,"Used",Log!$A$2:$A$1001,"&gt;"&amp;AA275)+SUMIFS(Log!$D$2:$D$1001,Log!$B$2:$B$1001,A275,Log!$C$2:$C$1001,"Adjustment",Log!$A$2:$A$1001,"&gt;"&amp;AA275)))</f>
        <v/>
      </c>
      <c r="D275" s="32">
        <f>IF(A275="","",IF(X275&lt;&gt;"",X275,W275))</f>
        <v/>
      </c>
      <c r="E275" s="33">
        <f>IF(OR(A275="",N(O275)=0),"",C275/O275)</f>
        <v/>
      </c>
      <c r="F275" s="31">
        <f>IF(A275="","",MAX(0,N(T275)-SUMIFS(Log!$D$2:$D$1001,Log!$B$2:$B$1001,A275,Log!$C$2:$C$1001,"Received",Log!$A$2:$A$1001,"&gt;="&amp;N(U275))))</f>
        <v/>
      </c>
      <c r="G275" s="24" t="n"/>
      <c r="H275" s="24" t="n"/>
      <c r="I275" s="24" t="n"/>
      <c r="J275" s="24" t="n"/>
      <c r="K275" s="24" t="n"/>
      <c r="L275" s="34" t="n"/>
      <c r="M275" s="24" t="n"/>
      <c r="N275" s="24" t="n"/>
      <c r="O275" s="35" t="n"/>
      <c r="P275" s="25" t="n"/>
      <c r="Q275" s="36">
        <f>IF(A275="","",IF(P275&lt;&gt;"",P275,IFERROR(IF(N(INDEX(Suppliers!$E$5:$E$24,MATCH(H275,Suppliers!$B$5:$B$24,0)))&gt;0,INDEX(Suppliers!$E$5:$E$24,MATCH(H275,Suppliers!$B$5:$B$24,0)),5),5)))</f>
        <v/>
      </c>
      <c r="R275" s="35" t="n"/>
      <c r="S275" s="37" t="n"/>
      <c r="T275" s="25" t="n"/>
      <c r="U275" s="37" t="n"/>
      <c r="V275" s="37" t="n"/>
      <c r="W275" s="36">
        <f>IF(A275="","",ROUNDUP(N(O275)*(Q275/7+Settings!$C$5),0))</f>
        <v/>
      </c>
      <c r="X275" s="25" t="n"/>
      <c r="Y275" s="25" t="n"/>
      <c r="Z275" s="32">
        <f>IF(A275="","",IF(Y275&lt;&gt;"",Y275,MAX(1,ROUNDUP(N(O275)*Settings!$C$7,0))))</f>
        <v/>
      </c>
      <c r="AA275" s="38">
        <f>IF(A275="","",MAX(N(S275),_xlfn.MAXIFS(Log!$A$2:$A$1001,Log!$B$2:$B$1001,A275,Log!$C$2:$C$1001,"Count")))</f>
        <v/>
      </c>
      <c r="AB275" s="39">
        <f>IF(A275="","",Z275*N(L275))</f>
        <v/>
      </c>
      <c r="AC275" s="40">
        <f>IF(A275="","",N(O275)*52*N(L275))</f>
        <v/>
      </c>
      <c r="AD275" s="39">
        <f>IF(A275="","",C275*N(L275))</f>
        <v/>
      </c>
      <c r="AE275" s="41">
        <f>IF(A275="",0,IF(AND(OR(B275="Order now",B275="Critical"),F275=0),1,0))</f>
        <v/>
      </c>
      <c r="AF275" s="41">
        <f>IF(AE275=1,IFERROR(MATCH(H275,Suppliers!$B$5:$B$24,0),99)*1000+ROW(),"")</f>
        <v/>
      </c>
      <c r="AG275" s="41">
        <f>IF(AF275="","",COUNTIF('Stock list'!$AF$2:$AF$301,"&lt;"&amp;AF275)+1)</f>
        <v/>
      </c>
      <c r="AH275" s="41">
        <f>IF(A275="",0,IF(OR(AA275=0,AND(B275="OK",OR(C275&lt;=D275+N(O275)*Settings!$C$6,Settings!$C$10-AA275&gt;Settings!$C$8*7))),1,0))</f>
        <v/>
      </c>
      <c r="AI275" s="41">
        <f>IF(AH275=0,"",IF(AA275=0,"Never counted",IF(C275&lt;=D275+N(O275)*Settings!$C$6,"Near the reorder point","Not counted for "&amp;INT((Settings!$C$10-AA275)/7)&amp;" weeks")))</f>
        <v/>
      </c>
      <c r="AJ275" s="41">
        <f>IF(AH275=1,IFERROR(MATCH(M275,Settings!$G$19:$G$38,0),99)*1000+ROW(),"")</f>
        <v/>
      </c>
      <c r="AK275" s="41">
        <f>IF(AJ275="","",COUNTIF('Stock list'!$AJ$2:$AJ$301,"&lt;"&amp;AJ275)+1)</f>
        <v/>
      </c>
      <c r="AL275" s="41">
        <f>IF(OR(A275="",N(AC275)=0),"",AC275+ROW()/1000000)</f>
        <v/>
      </c>
    </row>
    <row r="276">
      <c r="A276" s="24" t="n"/>
      <c r="B276" s="30">
        <f>IF(A276="","",IF(AA276=0,"No count",IF(AND(N(O276)&gt;0,C276/O276*7&lt;Q276),"Critical",IF(F276&gt;0,"On order",IF(AND(D276&gt;0,C276&lt;=D276),"Order now","OK")))))</f>
        <v/>
      </c>
      <c r="C276" s="31">
        <f>IF(A276="","",MAX(0,IF(_xlfn.MAXIFS(Log!$A$2:$A$1001,Log!$B$2:$B$1001,A276,Log!$C$2:$C$1001,"Count")&gt;N(S276),_xlfn.MAXIFS(Log!$D$2:$D$1001,Log!$B$2:$B$1001,A276,Log!$C$2:$C$1001,"Count",Log!$A$2:$A$1001,AA276),N(R276))+SUMIFS(Log!$D$2:$D$1001,Log!$B$2:$B$1001,A276,Log!$C$2:$C$1001,"Received",Log!$A$2:$A$1001,"&gt;"&amp;AA276)-SUMIFS(Log!$D$2:$D$1001,Log!$B$2:$B$1001,A276,Log!$C$2:$C$1001,"Used",Log!$A$2:$A$1001,"&gt;"&amp;AA276)+SUMIFS(Log!$D$2:$D$1001,Log!$B$2:$B$1001,A276,Log!$C$2:$C$1001,"Adjustment",Log!$A$2:$A$1001,"&gt;"&amp;AA276)))</f>
        <v/>
      </c>
      <c r="D276" s="32">
        <f>IF(A276="","",IF(X276&lt;&gt;"",X276,W276))</f>
        <v/>
      </c>
      <c r="E276" s="33">
        <f>IF(OR(A276="",N(O276)=0),"",C276/O276)</f>
        <v/>
      </c>
      <c r="F276" s="31">
        <f>IF(A276="","",MAX(0,N(T276)-SUMIFS(Log!$D$2:$D$1001,Log!$B$2:$B$1001,A276,Log!$C$2:$C$1001,"Received",Log!$A$2:$A$1001,"&gt;="&amp;N(U276))))</f>
        <v/>
      </c>
      <c r="G276" s="24" t="n"/>
      <c r="H276" s="24" t="n"/>
      <c r="I276" s="24" t="n"/>
      <c r="J276" s="24" t="n"/>
      <c r="K276" s="24" t="n"/>
      <c r="L276" s="34" t="n"/>
      <c r="M276" s="24" t="n"/>
      <c r="N276" s="24" t="n"/>
      <c r="O276" s="35" t="n"/>
      <c r="P276" s="25" t="n"/>
      <c r="Q276" s="36">
        <f>IF(A276="","",IF(P276&lt;&gt;"",P276,IFERROR(IF(N(INDEX(Suppliers!$E$5:$E$24,MATCH(H276,Suppliers!$B$5:$B$24,0)))&gt;0,INDEX(Suppliers!$E$5:$E$24,MATCH(H276,Suppliers!$B$5:$B$24,0)),5),5)))</f>
        <v/>
      </c>
      <c r="R276" s="35" t="n"/>
      <c r="S276" s="37" t="n"/>
      <c r="T276" s="25" t="n"/>
      <c r="U276" s="37" t="n"/>
      <c r="V276" s="37" t="n"/>
      <c r="W276" s="36">
        <f>IF(A276="","",ROUNDUP(N(O276)*(Q276/7+Settings!$C$5),0))</f>
        <v/>
      </c>
      <c r="X276" s="25" t="n"/>
      <c r="Y276" s="25" t="n"/>
      <c r="Z276" s="32">
        <f>IF(A276="","",IF(Y276&lt;&gt;"",Y276,MAX(1,ROUNDUP(N(O276)*Settings!$C$7,0))))</f>
        <v/>
      </c>
      <c r="AA276" s="38">
        <f>IF(A276="","",MAX(N(S276),_xlfn.MAXIFS(Log!$A$2:$A$1001,Log!$B$2:$B$1001,A276,Log!$C$2:$C$1001,"Count")))</f>
        <v/>
      </c>
      <c r="AB276" s="39">
        <f>IF(A276="","",Z276*N(L276))</f>
        <v/>
      </c>
      <c r="AC276" s="40">
        <f>IF(A276="","",N(O276)*52*N(L276))</f>
        <v/>
      </c>
      <c r="AD276" s="39">
        <f>IF(A276="","",C276*N(L276))</f>
        <v/>
      </c>
      <c r="AE276" s="41">
        <f>IF(A276="",0,IF(AND(OR(B276="Order now",B276="Critical"),F276=0),1,0))</f>
        <v/>
      </c>
      <c r="AF276" s="41">
        <f>IF(AE276=1,IFERROR(MATCH(H276,Suppliers!$B$5:$B$24,0),99)*1000+ROW(),"")</f>
        <v/>
      </c>
      <c r="AG276" s="41">
        <f>IF(AF276="","",COUNTIF('Stock list'!$AF$2:$AF$301,"&lt;"&amp;AF276)+1)</f>
        <v/>
      </c>
      <c r="AH276" s="41">
        <f>IF(A276="",0,IF(OR(AA276=0,AND(B276="OK",OR(C276&lt;=D276+N(O276)*Settings!$C$6,Settings!$C$10-AA276&gt;Settings!$C$8*7))),1,0))</f>
        <v/>
      </c>
      <c r="AI276" s="41">
        <f>IF(AH276=0,"",IF(AA276=0,"Never counted",IF(C276&lt;=D276+N(O276)*Settings!$C$6,"Near the reorder point","Not counted for "&amp;INT((Settings!$C$10-AA276)/7)&amp;" weeks")))</f>
        <v/>
      </c>
      <c r="AJ276" s="41">
        <f>IF(AH276=1,IFERROR(MATCH(M276,Settings!$G$19:$G$38,0),99)*1000+ROW(),"")</f>
        <v/>
      </c>
      <c r="AK276" s="41">
        <f>IF(AJ276="","",COUNTIF('Stock list'!$AJ$2:$AJ$301,"&lt;"&amp;AJ276)+1)</f>
        <v/>
      </c>
      <c r="AL276" s="41">
        <f>IF(OR(A276="",N(AC276)=0),"",AC276+ROW()/1000000)</f>
        <v/>
      </c>
    </row>
    <row r="277">
      <c r="A277" s="24" t="n"/>
      <c r="B277" s="30">
        <f>IF(A277="","",IF(AA277=0,"No count",IF(AND(N(O277)&gt;0,C277/O277*7&lt;Q277),"Critical",IF(F277&gt;0,"On order",IF(AND(D277&gt;0,C277&lt;=D277),"Order now","OK")))))</f>
        <v/>
      </c>
      <c r="C277" s="31">
        <f>IF(A277="","",MAX(0,IF(_xlfn.MAXIFS(Log!$A$2:$A$1001,Log!$B$2:$B$1001,A277,Log!$C$2:$C$1001,"Count")&gt;N(S277),_xlfn.MAXIFS(Log!$D$2:$D$1001,Log!$B$2:$B$1001,A277,Log!$C$2:$C$1001,"Count",Log!$A$2:$A$1001,AA277),N(R277))+SUMIFS(Log!$D$2:$D$1001,Log!$B$2:$B$1001,A277,Log!$C$2:$C$1001,"Received",Log!$A$2:$A$1001,"&gt;"&amp;AA277)-SUMIFS(Log!$D$2:$D$1001,Log!$B$2:$B$1001,A277,Log!$C$2:$C$1001,"Used",Log!$A$2:$A$1001,"&gt;"&amp;AA277)+SUMIFS(Log!$D$2:$D$1001,Log!$B$2:$B$1001,A277,Log!$C$2:$C$1001,"Adjustment",Log!$A$2:$A$1001,"&gt;"&amp;AA277)))</f>
        <v/>
      </c>
      <c r="D277" s="32">
        <f>IF(A277="","",IF(X277&lt;&gt;"",X277,W277))</f>
        <v/>
      </c>
      <c r="E277" s="33">
        <f>IF(OR(A277="",N(O277)=0),"",C277/O277)</f>
        <v/>
      </c>
      <c r="F277" s="31">
        <f>IF(A277="","",MAX(0,N(T277)-SUMIFS(Log!$D$2:$D$1001,Log!$B$2:$B$1001,A277,Log!$C$2:$C$1001,"Received",Log!$A$2:$A$1001,"&gt;="&amp;N(U277))))</f>
        <v/>
      </c>
      <c r="G277" s="24" t="n"/>
      <c r="H277" s="24" t="n"/>
      <c r="I277" s="24" t="n"/>
      <c r="J277" s="24" t="n"/>
      <c r="K277" s="24" t="n"/>
      <c r="L277" s="34" t="n"/>
      <c r="M277" s="24" t="n"/>
      <c r="N277" s="24" t="n"/>
      <c r="O277" s="35" t="n"/>
      <c r="P277" s="25" t="n"/>
      <c r="Q277" s="36">
        <f>IF(A277="","",IF(P277&lt;&gt;"",P277,IFERROR(IF(N(INDEX(Suppliers!$E$5:$E$24,MATCH(H277,Suppliers!$B$5:$B$24,0)))&gt;0,INDEX(Suppliers!$E$5:$E$24,MATCH(H277,Suppliers!$B$5:$B$24,0)),5),5)))</f>
        <v/>
      </c>
      <c r="R277" s="35" t="n"/>
      <c r="S277" s="37" t="n"/>
      <c r="T277" s="25" t="n"/>
      <c r="U277" s="37" t="n"/>
      <c r="V277" s="37" t="n"/>
      <c r="W277" s="36">
        <f>IF(A277="","",ROUNDUP(N(O277)*(Q277/7+Settings!$C$5),0))</f>
        <v/>
      </c>
      <c r="X277" s="25" t="n"/>
      <c r="Y277" s="25" t="n"/>
      <c r="Z277" s="32">
        <f>IF(A277="","",IF(Y277&lt;&gt;"",Y277,MAX(1,ROUNDUP(N(O277)*Settings!$C$7,0))))</f>
        <v/>
      </c>
      <c r="AA277" s="38">
        <f>IF(A277="","",MAX(N(S277),_xlfn.MAXIFS(Log!$A$2:$A$1001,Log!$B$2:$B$1001,A277,Log!$C$2:$C$1001,"Count")))</f>
        <v/>
      </c>
      <c r="AB277" s="39">
        <f>IF(A277="","",Z277*N(L277))</f>
        <v/>
      </c>
      <c r="AC277" s="40">
        <f>IF(A277="","",N(O277)*52*N(L277))</f>
        <v/>
      </c>
      <c r="AD277" s="39">
        <f>IF(A277="","",C277*N(L277))</f>
        <v/>
      </c>
      <c r="AE277" s="41">
        <f>IF(A277="",0,IF(AND(OR(B277="Order now",B277="Critical"),F277=0),1,0))</f>
        <v/>
      </c>
      <c r="AF277" s="41">
        <f>IF(AE277=1,IFERROR(MATCH(H277,Suppliers!$B$5:$B$24,0),99)*1000+ROW(),"")</f>
        <v/>
      </c>
      <c r="AG277" s="41">
        <f>IF(AF277="","",COUNTIF('Stock list'!$AF$2:$AF$301,"&lt;"&amp;AF277)+1)</f>
        <v/>
      </c>
      <c r="AH277" s="41">
        <f>IF(A277="",0,IF(OR(AA277=0,AND(B277="OK",OR(C277&lt;=D277+N(O277)*Settings!$C$6,Settings!$C$10-AA277&gt;Settings!$C$8*7))),1,0))</f>
        <v/>
      </c>
      <c r="AI277" s="41">
        <f>IF(AH277=0,"",IF(AA277=0,"Never counted",IF(C277&lt;=D277+N(O277)*Settings!$C$6,"Near the reorder point","Not counted for "&amp;INT((Settings!$C$10-AA277)/7)&amp;" weeks")))</f>
        <v/>
      </c>
      <c r="AJ277" s="41">
        <f>IF(AH277=1,IFERROR(MATCH(M277,Settings!$G$19:$G$38,0),99)*1000+ROW(),"")</f>
        <v/>
      </c>
      <c r="AK277" s="41">
        <f>IF(AJ277="","",COUNTIF('Stock list'!$AJ$2:$AJ$301,"&lt;"&amp;AJ277)+1)</f>
        <v/>
      </c>
      <c r="AL277" s="41">
        <f>IF(OR(A277="",N(AC277)=0),"",AC277+ROW()/1000000)</f>
        <v/>
      </c>
    </row>
    <row r="278">
      <c r="A278" s="24" t="n"/>
      <c r="B278" s="30">
        <f>IF(A278="","",IF(AA278=0,"No count",IF(AND(N(O278)&gt;0,C278/O278*7&lt;Q278),"Critical",IF(F278&gt;0,"On order",IF(AND(D278&gt;0,C278&lt;=D278),"Order now","OK")))))</f>
        <v/>
      </c>
      <c r="C278" s="31">
        <f>IF(A278="","",MAX(0,IF(_xlfn.MAXIFS(Log!$A$2:$A$1001,Log!$B$2:$B$1001,A278,Log!$C$2:$C$1001,"Count")&gt;N(S278),_xlfn.MAXIFS(Log!$D$2:$D$1001,Log!$B$2:$B$1001,A278,Log!$C$2:$C$1001,"Count",Log!$A$2:$A$1001,AA278),N(R278))+SUMIFS(Log!$D$2:$D$1001,Log!$B$2:$B$1001,A278,Log!$C$2:$C$1001,"Received",Log!$A$2:$A$1001,"&gt;"&amp;AA278)-SUMIFS(Log!$D$2:$D$1001,Log!$B$2:$B$1001,A278,Log!$C$2:$C$1001,"Used",Log!$A$2:$A$1001,"&gt;"&amp;AA278)+SUMIFS(Log!$D$2:$D$1001,Log!$B$2:$B$1001,A278,Log!$C$2:$C$1001,"Adjustment",Log!$A$2:$A$1001,"&gt;"&amp;AA278)))</f>
        <v/>
      </c>
      <c r="D278" s="32">
        <f>IF(A278="","",IF(X278&lt;&gt;"",X278,W278))</f>
        <v/>
      </c>
      <c r="E278" s="33">
        <f>IF(OR(A278="",N(O278)=0),"",C278/O278)</f>
        <v/>
      </c>
      <c r="F278" s="31">
        <f>IF(A278="","",MAX(0,N(T278)-SUMIFS(Log!$D$2:$D$1001,Log!$B$2:$B$1001,A278,Log!$C$2:$C$1001,"Received",Log!$A$2:$A$1001,"&gt;="&amp;N(U278))))</f>
        <v/>
      </c>
      <c r="G278" s="24" t="n"/>
      <c r="H278" s="24" t="n"/>
      <c r="I278" s="24" t="n"/>
      <c r="J278" s="24" t="n"/>
      <c r="K278" s="24" t="n"/>
      <c r="L278" s="34" t="n"/>
      <c r="M278" s="24" t="n"/>
      <c r="N278" s="24" t="n"/>
      <c r="O278" s="35" t="n"/>
      <c r="P278" s="25" t="n"/>
      <c r="Q278" s="36">
        <f>IF(A278="","",IF(P278&lt;&gt;"",P278,IFERROR(IF(N(INDEX(Suppliers!$E$5:$E$24,MATCH(H278,Suppliers!$B$5:$B$24,0)))&gt;0,INDEX(Suppliers!$E$5:$E$24,MATCH(H278,Suppliers!$B$5:$B$24,0)),5),5)))</f>
        <v/>
      </c>
      <c r="R278" s="35" t="n"/>
      <c r="S278" s="37" t="n"/>
      <c r="T278" s="25" t="n"/>
      <c r="U278" s="37" t="n"/>
      <c r="V278" s="37" t="n"/>
      <c r="W278" s="36">
        <f>IF(A278="","",ROUNDUP(N(O278)*(Q278/7+Settings!$C$5),0))</f>
        <v/>
      </c>
      <c r="X278" s="25" t="n"/>
      <c r="Y278" s="25" t="n"/>
      <c r="Z278" s="32">
        <f>IF(A278="","",IF(Y278&lt;&gt;"",Y278,MAX(1,ROUNDUP(N(O278)*Settings!$C$7,0))))</f>
        <v/>
      </c>
      <c r="AA278" s="38">
        <f>IF(A278="","",MAX(N(S278),_xlfn.MAXIFS(Log!$A$2:$A$1001,Log!$B$2:$B$1001,A278,Log!$C$2:$C$1001,"Count")))</f>
        <v/>
      </c>
      <c r="AB278" s="39">
        <f>IF(A278="","",Z278*N(L278))</f>
        <v/>
      </c>
      <c r="AC278" s="40">
        <f>IF(A278="","",N(O278)*52*N(L278))</f>
        <v/>
      </c>
      <c r="AD278" s="39">
        <f>IF(A278="","",C278*N(L278))</f>
        <v/>
      </c>
      <c r="AE278" s="41">
        <f>IF(A278="",0,IF(AND(OR(B278="Order now",B278="Critical"),F278=0),1,0))</f>
        <v/>
      </c>
      <c r="AF278" s="41">
        <f>IF(AE278=1,IFERROR(MATCH(H278,Suppliers!$B$5:$B$24,0),99)*1000+ROW(),"")</f>
        <v/>
      </c>
      <c r="AG278" s="41">
        <f>IF(AF278="","",COUNTIF('Stock list'!$AF$2:$AF$301,"&lt;"&amp;AF278)+1)</f>
        <v/>
      </c>
      <c r="AH278" s="41">
        <f>IF(A278="",0,IF(OR(AA278=0,AND(B278="OK",OR(C278&lt;=D278+N(O278)*Settings!$C$6,Settings!$C$10-AA278&gt;Settings!$C$8*7))),1,0))</f>
        <v/>
      </c>
      <c r="AI278" s="41">
        <f>IF(AH278=0,"",IF(AA278=0,"Never counted",IF(C278&lt;=D278+N(O278)*Settings!$C$6,"Near the reorder point","Not counted for "&amp;INT((Settings!$C$10-AA278)/7)&amp;" weeks")))</f>
        <v/>
      </c>
      <c r="AJ278" s="41">
        <f>IF(AH278=1,IFERROR(MATCH(M278,Settings!$G$19:$G$38,0),99)*1000+ROW(),"")</f>
        <v/>
      </c>
      <c r="AK278" s="41">
        <f>IF(AJ278="","",COUNTIF('Stock list'!$AJ$2:$AJ$301,"&lt;"&amp;AJ278)+1)</f>
        <v/>
      </c>
      <c r="AL278" s="41">
        <f>IF(OR(A278="",N(AC278)=0),"",AC278+ROW()/1000000)</f>
        <v/>
      </c>
    </row>
    <row r="279">
      <c r="A279" s="24" t="n"/>
      <c r="B279" s="30">
        <f>IF(A279="","",IF(AA279=0,"No count",IF(AND(N(O279)&gt;0,C279/O279*7&lt;Q279),"Critical",IF(F279&gt;0,"On order",IF(AND(D279&gt;0,C279&lt;=D279),"Order now","OK")))))</f>
        <v/>
      </c>
      <c r="C279" s="31">
        <f>IF(A279="","",MAX(0,IF(_xlfn.MAXIFS(Log!$A$2:$A$1001,Log!$B$2:$B$1001,A279,Log!$C$2:$C$1001,"Count")&gt;N(S279),_xlfn.MAXIFS(Log!$D$2:$D$1001,Log!$B$2:$B$1001,A279,Log!$C$2:$C$1001,"Count",Log!$A$2:$A$1001,AA279),N(R279))+SUMIFS(Log!$D$2:$D$1001,Log!$B$2:$B$1001,A279,Log!$C$2:$C$1001,"Received",Log!$A$2:$A$1001,"&gt;"&amp;AA279)-SUMIFS(Log!$D$2:$D$1001,Log!$B$2:$B$1001,A279,Log!$C$2:$C$1001,"Used",Log!$A$2:$A$1001,"&gt;"&amp;AA279)+SUMIFS(Log!$D$2:$D$1001,Log!$B$2:$B$1001,A279,Log!$C$2:$C$1001,"Adjustment",Log!$A$2:$A$1001,"&gt;"&amp;AA279)))</f>
        <v/>
      </c>
      <c r="D279" s="32">
        <f>IF(A279="","",IF(X279&lt;&gt;"",X279,W279))</f>
        <v/>
      </c>
      <c r="E279" s="33">
        <f>IF(OR(A279="",N(O279)=0),"",C279/O279)</f>
        <v/>
      </c>
      <c r="F279" s="31">
        <f>IF(A279="","",MAX(0,N(T279)-SUMIFS(Log!$D$2:$D$1001,Log!$B$2:$B$1001,A279,Log!$C$2:$C$1001,"Received",Log!$A$2:$A$1001,"&gt;="&amp;N(U279))))</f>
        <v/>
      </c>
      <c r="G279" s="24" t="n"/>
      <c r="H279" s="24" t="n"/>
      <c r="I279" s="24" t="n"/>
      <c r="J279" s="24" t="n"/>
      <c r="K279" s="24" t="n"/>
      <c r="L279" s="34" t="n"/>
      <c r="M279" s="24" t="n"/>
      <c r="N279" s="24" t="n"/>
      <c r="O279" s="35" t="n"/>
      <c r="P279" s="25" t="n"/>
      <c r="Q279" s="36">
        <f>IF(A279="","",IF(P279&lt;&gt;"",P279,IFERROR(IF(N(INDEX(Suppliers!$E$5:$E$24,MATCH(H279,Suppliers!$B$5:$B$24,0)))&gt;0,INDEX(Suppliers!$E$5:$E$24,MATCH(H279,Suppliers!$B$5:$B$24,0)),5),5)))</f>
        <v/>
      </c>
      <c r="R279" s="35" t="n"/>
      <c r="S279" s="37" t="n"/>
      <c r="T279" s="25" t="n"/>
      <c r="U279" s="37" t="n"/>
      <c r="V279" s="37" t="n"/>
      <c r="W279" s="36">
        <f>IF(A279="","",ROUNDUP(N(O279)*(Q279/7+Settings!$C$5),0))</f>
        <v/>
      </c>
      <c r="X279" s="25" t="n"/>
      <c r="Y279" s="25" t="n"/>
      <c r="Z279" s="32">
        <f>IF(A279="","",IF(Y279&lt;&gt;"",Y279,MAX(1,ROUNDUP(N(O279)*Settings!$C$7,0))))</f>
        <v/>
      </c>
      <c r="AA279" s="38">
        <f>IF(A279="","",MAX(N(S279),_xlfn.MAXIFS(Log!$A$2:$A$1001,Log!$B$2:$B$1001,A279,Log!$C$2:$C$1001,"Count")))</f>
        <v/>
      </c>
      <c r="AB279" s="39">
        <f>IF(A279="","",Z279*N(L279))</f>
        <v/>
      </c>
      <c r="AC279" s="40">
        <f>IF(A279="","",N(O279)*52*N(L279))</f>
        <v/>
      </c>
      <c r="AD279" s="39">
        <f>IF(A279="","",C279*N(L279))</f>
        <v/>
      </c>
      <c r="AE279" s="41">
        <f>IF(A279="",0,IF(AND(OR(B279="Order now",B279="Critical"),F279=0),1,0))</f>
        <v/>
      </c>
      <c r="AF279" s="41">
        <f>IF(AE279=1,IFERROR(MATCH(H279,Suppliers!$B$5:$B$24,0),99)*1000+ROW(),"")</f>
        <v/>
      </c>
      <c r="AG279" s="41">
        <f>IF(AF279="","",COUNTIF('Stock list'!$AF$2:$AF$301,"&lt;"&amp;AF279)+1)</f>
        <v/>
      </c>
      <c r="AH279" s="41">
        <f>IF(A279="",0,IF(OR(AA279=0,AND(B279="OK",OR(C279&lt;=D279+N(O279)*Settings!$C$6,Settings!$C$10-AA279&gt;Settings!$C$8*7))),1,0))</f>
        <v/>
      </c>
      <c r="AI279" s="41">
        <f>IF(AH279=0,"",IF(AA279=0,"Never counted",IF(C279&lt;=D279+N(O279)*Settings!$C$6,"Near the reorder point","Not counted for "&amp;INT((Settings!$C$10-AA279)/7)&amp;" weeks")))</f>
        <v/>
      </c>
      <c r="AJ279" s="41">
        <f>IF(AH279=1,IFERROR(MATCH(M279,Settings!$G$19:$G$38,0),99)*1000+ROW(),"")</f>
        <v/>
      </c>
      <c r="AK279" s="41">
        <f>IF(AJ279="","",COUNTIF('Stock list'!$AJ$2:$AJ$301,"&lt;"&amp;AJ279)+1)</f>
        <v/>
      </c>
      <c r="AL279" s="41">
        <f>IF(OR(A279="",N(AC279)=0),"",AC279+ROW()/1000000)</f>
        <v/>
      </c>
    </row>
    <row r="280">
      <c r="A280" s="24" t="n"/>
      <c r="B280" s="30">
        <f>IF(A280="","",IF(AA280=0,"No count",IF(AND(N(O280)&gt;0,C280/O280*7&lt;Q280),"Critical",IF(F280&gt;0,"On order",IF(AND(D280&gt;0,C280&lt;=D280),"Order now","OK")))))</f>
        <v/>
      </c>
      <c r="C280" s="31">
        <f>IF(A280="","",MAX(0,IF(_xlfn.MAXIFS(Log!$A$2:$A$1001,Log!$B$2:$B$1001,A280,Log!$C$2:$C$1001,"Count")&gt;N(S280),_xlfn.MAXIFS(Log!$D$2:$D$1001,Log!$B$2:$B$1001,A280,Log!$C$2:$C$1001,"Count",Log!$A$2:$A$1001,AA280),N(R280))+SUMIFS(Log!$D$2:$D$1001,Log!$B$2:$B$1001,A280,Log!$C$2:$C$1001,"Received",Log!$A$2:$A$1001,"&gt;"&amp;AA280)-SUMIFS(Log!$D$2:$D$1001,Log!$B$2:$B$1001,A280,Log!$C$2:$C$1001,"Used",Log!$A$2:$A$1001,"&gt;"&amp;AA280)+SUMIFS(Log!$D$2:$D$1001,Log!$B$2:$B$1001,A280,Log!$C$2:$C$1001,"Adjustment",Log!$A$2:$A$1001,"&gt;"&amp;AA280)))</f>
        <v/>
      </c>
      <c r="D280" s="32">
        <f>IF(A280="","",IF(X280&lt;&gt;"",X280,W280))</f>
        <v/>
      </c>
      <c r="E280" s="33">
        <f>IF(OR(A280="",N(O280)=0),"",C280/O280)</f>
        <v/>
      </c>
      <c r="F280" s="31">
        <f>IF(A280="","",MAX(0,N(T280)-SUMIFS(Log!$D$2:$D$1001,Log!$B$2:$B$1001,A280,Log!$C$2:$C$1001,"Received",Log!$A$2:$A$1001,"&gt;="&amp;N(U280))))</f>
        <v/>
      </c>
      <c r="G280" s="24" t="n"/>
      <c r="H280" s="24" t="n"/>
      <c r="I280" s="24" t="n"/>
      <c r="J280" s="24" t="n"/>
      <c r="K280" s="24" t="n"/>
      <c r="L280" s="34" t="n"/>
      <c r="M280" s="24" t="n"/>
      <c r="N280" s="24" t="n"/>
      <c r="O280" s="35" t="n"/>
      <c r="P280" s="25" t="n"/>
      <c r="Q280" s="36">
        <f>IF(A280="","",IF(P280&lt;&gt;"",P280,IFERROR(IF(N(INDEX(Suppliers!$E$5:$E$24,MATCH(H280,Suppliers!$B$5:$B$24,0)))&gt;0,INDEX(Suppliers!$E$5:$E$24,MATCH(H280,Suppliers!$B$5:$B$24,0)),5),5)))</f>
        <v/>
      </c>
      <c r="R280" s="35" t="n"/>
      <c r="S280" s="37" t="n"/>
      <c r="T280" s="25" t="n"/>
      <c r="U280" s="37" t="n"/>
      <c r="V280" s="37" t="n"/>
      <c r="W280" s="36">
        <f>IF(A280="","",ROUNDUP(N(O280)*(Q280/7+Settings!$C$5),0))</f>
        <v/>
      </c>
      <c r="X280" s="25" t="n"/>
      <c r="Y280" s="25" t="n"/>
      <c r="Z280" s="32">
        <f>IF(A280="","",IF(Y280&lt;&gt;"",Y280,MAX(1,ROUNDUP(N(O280)*Settings!$C$7,0))))</f>
        <v/>
      </c>
      <c r="AA280" s="38">
        <f>IF(A280="","",MAX(N(S280),_xlfn.MAXIFS(Log!$A$2:$A$1001,Log!$B$2:$B$1001,A280,Log!$C$2:$C$1001,"Count")))</f>
        <v/>
      </c>
      <c r="AB280" s="39">
        <f>IF(A280="","",Z280*N(L280))</f>
        <v/>
      </c>
      <c r="AC280" s="40">
        <f>IF(A280="","",N(O280)*52*N(L280))</f>
        <v/>
      </c>
      <c r="AD280" s="39">
        <f>IF(A280="","",C280*N(L280))</f>
        <v/>
      </c>
      <c r="AE280" s="41">
        <f>IF(A280="",0,IF(AND(OR(B280="Order now",B280="Critical"),F280=0),1,0))</f>
        <v/>
      </c>
      <c r="AF280" s="41">
        <f>IF(AE280=1,IFERROR(MATCH(H280,Suppliers!$B$5:$B$24,0),99)*1000+ROW(),"")</f>
        <v/>
      </c>
      <c r="AG280" s="41">
        <f>IF(AF280="","",COUNTIF('Stock list'!$AF$2:$AF$301,"&lt;"&amp;AF280)+1)</f>
        <v/>
      </c>
      <c r="AH280" s="41">
        <f>IF(A280="",0,IF(OR(AA280=0,AND(B280="OK",OR(C280&lt;=D280+N(O280)*Settings!$C$6,Settings!$C$10-AA280&gt;Settings!$C$8*7))),1,0))</f>
        <v/>
      </c>
      <c r="AI280" s="41">
        <f>IF(AH280=0,"",IF(AA280=0,"Never counted",IF(C280&lt;=D280+N(O280)*Settings!$C$6,"Near the reorder point","Not counted for "&amp;INT((Settings!$C$10-AA280)/7)&amp;" weeks")))</f>
        <v/>
      </c>
      <c r="AJ280" s="41">
        <f>IF(AH280=1,IFERROR(MATCH(M280,Settings!$G$19:$G$38,0),99)*1000+ROW(),"")</f>
        <v/>
      </c>
      <c r="AK280" s="41">
        <f>IF(AJ280="","",COUNTIF('Stock list'!$AJ$2:$AJ$301,"&lt;"&amp;AJ280)+1)</f>
        <v/>
      </c>
      <c r="AL280" s="41">
        <f>IF(OR(A280="",N(AC280)=0),"",AC280+ROW()/1000000)</f>
        <v/>
      </c>
    </row>
    <row r="281">
      <c r="A281" s="24" t="n"/>
      <c r="B281" s="30">
        <f>IF(A281="","",IF(AA281=0,"No count",IF(AND(N(O281)&gt;0,C281/O281*7&lt;Q281),"Critical",IF(F281&gt;0,"On order",IF(AND(D281&gt;0,C281&lt;=D281),"Order now","OK")))))</f>
        <v/>
      </c>
      <c r="C281" s="31">
        <f>IF(A281="","",MAX(0,IF(_xlfn.MAXIFS(Log!$A$2:$A$1001,Log!$B$2:$B$1001,A281,Log!$C$2:$C$1001,"Count")&gt;N(S281),_xlfn.MAXIFS(Log!$D$2:$D$1001,Log!$B$2:$B$1001,A281,Log!$C$2:$C$1001,"Count",Log!$A$2:$A$1001,AA281),N(R281))+SUMIFS(Log!$D$2:$D$1001,Log!$B$2:$B$1001,A281,Log!$C$2:$C$1001,"Received",Log!$A$2:$A$1001,"&gt;"&amp;AA281)-SUMIFS(Log!$D$2:$D$1001,Log!$B$2:$B$1001,A281,Log!$C$2:$C$1001,"Used",Log!$A$2:$A$1001,"&gt;"&amp;AA281)+SUMIFS(Log!$D$2:$D$1001,Log!$B$2:$B$1001,A281,Log!$C$2:$C$1001,"Adjustment",Log!$A$2:$A$1001,"&gt;"&amp;AA281)))</f>
        <v/>
      </c>
      <c r="D281" s="32">
        <f>IF(A281="","",IF(X281&lt;&gt;"",X281,W281))</f>
        <v/>
      </c>
      <c r="E281" s="33">
        <f>IF(OR(A281="",N(O281)=0),"",C281/O281)</f>
        <v/>
      </c>
      <c r="F281" s="31">
        <f>IF(A281="","",MAX(0,N(T281)-SUMIFS(Log!$D$2:$D$1001,Log!$B$2:$B$1001,A281,Log!$C$2:$C$1001,"Received",Log!$A$2:$A$1001,"&gt;="&amp;N(U281))))</f>
        <v/>
      </c>
      <c r="G281" s="24" t="n"/>
      <c r="H281" s="24" t="n"/>
      <c r="I281" s="24" t="n"/>
      <c r="J281" s="24" t="n"/>
      <c r="K281" s="24" t="n"/>
      <c r="L281" s="34" t="n"/>
      <c r="M281" s="24" t="n"/>
      <c r="N281" s="24" t="n"/>
      <c r="O281" s="35" t="n"/>
      <c r="P281" s="25" t="n"/>
      <c r="Q281" s="36">
        <f>IF(A281="","",IF(P281&lt;&gt;"",P281,IFERROR(IF(N(INDEX(Suppliers!$E$5:$E$24,MATCH(H281,Suppliers!$B$5:$B$24,0)))&gt;0,INDEX(Suppliers!$E$5:$E$24,MATCH(H281,Suppliers!$B$5:$B$24,0)),5),5)))</f>
        <v/>
      </c>
      <c r="R281" s="35" t="n"/>
      <c r="S281" s="37" t="n"/>
      <c r="T281" s="25" t="n"/>
      <c r="U281" s="37" t="n"/>
      <c r="V281" s="37" t="n"/>
      <c r="W281" s="36">
        <f>IF(A281="","",ROUNDUP(N(O281)*(Q281/7+Settings!$C$5),0))</f>
        <v/>
      </c>
      <c r="X281" s="25" t="n"/>
      <c r="Y281" s="25" t="n"/>
      <c r="Z281" s="32">
        <f>IF(A281="","",IF(Y281&lt;&gt;"",Y281,MAX(1,ROUNDUP(N(O281)*Settings!$C$7,0))))</f>
        <v/>
      </c>
      <c r="AA281" s="38">
        <f>IF(A281="","",MAX(N(S281),_xlfn.MAXIFS(Log!$A$2:$A$1001,Log!$B$2:$B$1001,A281,Log!$C$2:$C$1001,"Count")))</f>
        <v/>
      </c>
      <c r="AB281" s="39">
        <f>IF(A281="","",Z281*N(L281))</f>
        <v/>
      </c>
      <c r="AC281" s="40">
        <f>IF(A281="","",N(O281)*52*N(L281))</f>
        <v/>
      </c>
      <c r="AD281" s="39">
        <f>IF(A281="","",C281*N(L281))</f>
        <v/>
      </c>
      <c r="AE281" s="41">
        <f>IF(A281="",0,IF(AND(OR(B281="Order now",B281="Critical"),F281=0),1,0))</f>
        <v/>
      </c>
      <c r="AF281" s="41">
        <f>IF(AE281=1,IFERROR(MATCH(H281,Suppliers!$B$5:$B$24,0),99)*1000+ROW(),"")</f>
        <v/>
      </c>
      <c r="AG281" s="41">
        <f>IF(AF281="","",COUNTIF('Stock list'!$AF$2:$AF$301,"&lt;"&amp;AF281)+1)</f>
        <v/>
      </c>
      <c r="AH281" s="41">
        <f>IF(A281="",0,IF(OR(AA281=0,AND(B281="OK",OR(C281&lt;=D281+N(O281)*Settings!$C$6,Settings!$C$10-AA281&gt;Settings!$C$8*7))),1,0))</f>
        <v/>
      </c>
      <c r="AI281" s="41">
        <f>IF(AH281=0,"",IF(AA281=0,"Never counted",IF(C281&lt;=D281+N(O281)*Settings!$C$6,"Near the reorder point","Not counted for "&amp;INT((Settings!$C$10-AA281)/7)&amp;" weeks")))</f>
        <v/>
      </c>
      <c r="AJ281" s="41">
        <f>IF(AH281=1,IFERROR(MATCH(M281,Settings!$G$19:$G$38,0),99)*1000+ROW(),"")</f>
        <v/>
      </c>
      <c r="AK281" s="41">
        <f>IF(AJ281="","",COUNTIF('Stock list'!$AJ$2:$AJ$301,"&lt;"&amp;AJ281)+1)</f>
        <v/>
      </c>
      <c r="AL281" s="41">
        <f>IF(OR(A281="",N(AC281)=0),"",AC281+ROW()/1000000)</f>
        <v/>
      </c>
    </row>
    <row r="282">
      <c r="A282" s="24" t="n"/>
      <c r="B282" s="30">
        <f>IF(A282="","",IF(AA282=0,"No count",IF(AND(N(O282)&gt;0,C282/O282*7&lt;Q282),"Critical",IF(F282&gt;0,"On order",IF(AND(D282&gt;0,C282&lt;=D282),"Order now","OK")))))</f>
        <v/>
      </c>
      <c r="C282" s="31">
        <f>IF(A282="","",MAX(0,IF(_xlfn.MAXIFS(Log!$A$2:$A$1001,Log!$B$2:$B$1001,A282,Log!$C$2:$C$1001,"Count")&gt;N(S282),_xlfn.MAXIFS(Log!$D$2:$D$1001,Log!$B$2:$B$1001,A282,Log!$C$2:$C$1001,"Count",Log!$A$2:$A$1001,AA282),N(R282))+SUMIFS(Log!$D$2:$D$1001,Log!$B$2:$B$1001,A282,Log!$C$2:$C$1001,"Received",Log!$A$2:$A$1001,"&gt;"&amp;AA282)-SUMIFS(Log!$D$2:$D$1001,Log!$B$2:$B$1001,A282,Log!$C$2:$C$1001,"Used",Log!$A$2:$A$1001,"&gt;"&amp;AA282)+SUMIFS(Log!$D$2:$D$1001,Log!$B$2:$B$1001,A282,Log!$C$2:$C$1001,"Adjustment",Log!$A$2:$A$1001,"&gt;"&amp;AA282)))</f>
        <v/>
      </c>
      <c r="D282" s="32">
        <f>IF(A282="","",IF(X282&lt;&gt;"",X282,W282))</f>
        <v/>
      </c>
      <c r="E282" s="33">
        <f>IF(OR(A282="",N(O282)=0),"",C282/O282)</f>
        <v/>
      </c>
      <c r="F282" s="31">
        <f>IF(A282="","",MAX(0,N(T282)-SUMIFS(Log!$D$2:$D$1001,Log!$B$2:$B$1001,A282,Log!$C$2:$C$1001,"Received",Log!$A$2:$A$1001,"&gt;="&amp;N(U282))))</f>
        <v/>
      </c>
      <c r="G282" s="24" t="n"/>
      <c r="H282" s="24" t="n"/>
      <c r="I282" s="24" t="n"/>
      <c r="J282" s="24" t="n"/>
      <c r="K282" s="24" t="n"/>
      <c r="L282" s="34" t="n"/>
      <c r="M282" s="24" t="n"/>
      <c r="N282" s="24" t="n"/>
      <c r="O282" s="35" t="n"/>
      <c r="P282" s="25" t="n"/>
      <c r="Q282" s="36">
        <f>IF(A282="","",IF(P282&lt;&gt;"",P282,IFERROR(IF(N(INDEX(Suppliers!$E$5:$E$24,MATCH(H282,Suppliers!$B$5:$B$24,0)))&gt;0,INDEX(Suppliers!$E$5:$E$24,MATCH(H282,Suppliers!$B$5:$B$24,0)),5),5)))</f>
        <v/>
      </c>
      <c r="R282" s="35" t="n"/>
      <c r="S282" s="37" t="n"/>
      <c r="T282" s="25" t="n"/>
      <c r="U282" s="37" t="n"/>
      <c r="V282" s="37" t="n"/>
      <c r="W282" s="36">
        <f>IF(A282="","",ROUNDUP(N(O282)*(Q282/7+Settings!$C$5),0))</f>
        <v/>
      </c>
      <c r="X282" s="25" t="n"/>
      <c r="Y282" s="25" t="n"/>
      <c r="Z282" s="32">
        <f>IF(A282="","",IF(Y282&lt;&gt;"",Y282,MAX(1,ROUNDUP(N(O282)*Settings!$C$7,0))))</f>
        <v/>
      </c>
      <c r="AA282" s="38">
        <f>IF(A282="","",MAX(N(S282),_xlfn.MAXIFS(Log!$A$2:$A$1001,Log!$B$2:$B$1001,A282,Log!$C$2:$C$1001,"Count")))</f>
        <v/>
      </c>
      <c r="AB282" s="39">
        <f>IF(A282="","",Z282*N(L282))</f>
        <v/>
      </c>
      <c r="AC282" s="40">
        <f>IF(A282="","",N(O282)*52*N(L282))</f>
        <v/>
      </c>
      <c r="AD282" s="39">
        <f>IF(A282="","",C282*N(L282))</f>
        <v/>
      </c>
      <c r="AE282" s="41">
        <f>IF(A282="",0,IF(AND(OR(B282="Order now",B282="Critical"),F282=0),1,0))</f>
        <v/>
      </c>
      <c r="AF282" s="41">
        <f>IF(AE282=1,IFERROR(MATCH(H282,Suppliers!$B$5:$B$24,0),99)*1000+ROW(),"")</f>
        <v/>
      </c>
      <c r="AG282" s="41">
        <f>IF(AF282="","",COUNTIF('Stock list'!$AF$2:$AF$301,"&lt;"&amp;AF282)+1)</f>
        <v/>
      </c>
      <c r="AH282" s="41">
        <f>IF(A282="",0,IF(OR(AA282=0,AND(B282="OK",OR(C282&lt;=D282+N(O282)*Settings!$C$6,Settings!$C$10-AA282&gt;Settings!$C$8*7))),1,0))</f>
        <v/>
      </c>
      <c r="AI282" s="41">
        <f>IF(AH282=0,"",IF(AA282=0,"Never counted",IF(C282&lt;=D282+N(O282)*Settings!$C$6,"Near the reorder point","Not counted for "&amp;INT((Settings!$C$10-AA282)/7)&amp;" weeks")))</f>
        <v/>
      </c>
      <c r="AJ282" s="41">
        <f>IF(AH282=1,IFERROR(MATCH(M282,Settings!$G$19:$G$38,0),99)*1000+ROW(),"")</f>
        <v/>
      </c>
      <c r="AK282" s="41">
        <f>IF(AJ282="","",COUNTIF('Stock list'!$AJ$2:$AJ$301,"&lt;"&amp;AJ282)+1)</f>
        <v/>
      </c>
      <c r="AL282" s="41">
        <f>IF(OR(A282="",N(AC282)=0),"",AC282+ROW()/1000000)</f>
        <v/>
      </c>
    </row>
    <row r="283">
      <c r="A283" s="24" t="n"/>
      <c r="B283" s="30">
        <f>IF(A283="","",IF(AA283=0,"No count",IF(AND(N(O283)&gt;0,C283/O283*7&lt;Q283),"Critical",IF(F283&gt;0,"On order",IF(AND(D283&gt;0,C283&lt;=D283),"Order now","OK")))))</f>
        <v/>
      </c>
      <c r="C283" s="31">
        <f>IF(A283="","",MAX(0,IF(_xlfn.MAXIFS(Log!$A$2:$A$1001,Log!$B$2:$B$1001,A283,Log!$C$2:$C$1001,"Count")&gt;N(S283),_xlfn.MAXIFS(Log!$D$2:$D$1001,Log!$B$2:$B$1001,A283,Log!$C$2:$C$1001,"Count",Log!$A$2:$A$1001,AA283),N(R283))+SUMIFS(Log!$D$2:$D$1001,Log!$B$2:$B$1001,A283,Log!$C$2:$C$1001,"Received",Log!$A$2:$A$1001,"&gt;"&amp;AA283)-SUMIFS(Log!$D$2:$D$1001,Log!$B$2:$B$1001,A283,Log!$C$2:$C$1001,"Used",Log!$A$2:$A$1001,"&gt;"&amp;AA283)+SUMIFS(Log!$D$2:$D$1001,Log!$B$2:$B$1001,A283,Log!$C$2:$C$1001,"Adjustment",Log!$A$2:$A$1001,"&gt;"&amp;AA283)))</f>
        <v/>
      </c>
      <c r="D283" s="32">
        <f>IF(A283="","",IF(X283&lt;&gt;"",X283,W283))</f>
        <v/>
      </c>
      <c r="E283" s="33">
        <f>IF(OR(A283="",N(O283)=0),"",C283/O283)</f>
        <v/>
      </c>
      <c r="F283" s="31">
        <f>IF(A283="","",MAX(0,N(T283)-SUMIFS(Log!$D$2:$D$1001,Log!$B$2:$B$1001,A283,Log!$C$2:$C$1001,"Received",Log!$A$2:$A$1001,"&gt;="&amp;N(U283))))</f>
        <v/>
      </c>
      <c r="G283" s="24" t="n"/>
      <c r="H283" s="24" t="n"/>
      <c r="I283" s="24" t="n"/>
      <c r="J283" s="24" t="n"/>
      <c r="K283" s="24" t="n"/>
      <c r="L283" s="34" t="n"/>
      <c r="M283" s="24" t="n"/>
      <c r="N283" s="24" t="n"/>
      <c r="O283" s="35" t="n"/>
      <c r="P283" s="25" t="n"/>
      <c r="Q283" s="36">
        <f>IF(A283="","",IF(P283&lt;&gt;"",P283,IFERROR(IF(N(INDEX(Suppliers!$E$5:$E$24,MATCH(H283,Suppliers!$B$5:$B$24,0)))&gt;0,INDEX(Suppliers!$E$5:$E$24,MATCH(H283,Suppliers!$B$5:$B$24,0)),5),5)))</f>
        <v/>
      </c>
      <c r="R283" s="35" t="n"/>
      <c r="S283" s="37" t="n"/>
      <c r="T283" s="25" t="n"/>
      <c r="U283" s="37" t="n"/>
      <c r="V283" s="37" t="n"/>
      <c r="W283" s="36">
        <f>IF(A283="","",ROUNDUP(N(O283)*(Q283/7+Settings!$C$5),0))</f>
        <v/>
      </c>
      <c r="X283" s="25" t="n"/>
      <c r="Y283" s="25" t="n"/>
      <c r="Z283" s="32">
        <f>IF(A283="","",IF(Y283&lt;&gt;"",Y283,MAX(1,ROUNDUP(N(O283)*Settings!$C$7,0))))</f>
        <v/>
      </c>
      <c r="AA283" s="38">
        <f>IF(A283="","",MAX(N(S283),_xlfn.MAXIFS(Log!$A$2:$A$1001,Log!$B$2:$B$1001,A283,Log!$C$2:$C$1001,"Count")))</f>
        <v/>
      </c>
      <c r="AB283" s="39">
        <f>IF(A283="","",Z283*N(L283))</f>
        <v/>
      </c>
      <c r="AC283" s="40">
        <f>IF(A283="","",N(O283)*52*N(L283))</f>
        <v/>
      </c>
      <c r="AD283" s="39">
        <f>IF(A283="","",C283*N(L283))</f>
        <v/>
      </c>
      <c r="AE283" s="41">
        <f>IF(A283="",0,IF(AND(OR(B283="Order now",B283="Critical"),F283=0),1,0))</f>
        <v/>
      </c>
      <c r="AF283" s="41">
        <f>IF(AE283=1,IFERROR(MATCH(H283,Suppliers!$B$5:$B$24,0),99)*1000+ROW(),"")</f>
        <v/>
      </c>
      <c r="AG283" s="41">
        <f>IF(AF283="","",COUNTIF('Stock list'!$AF$2:$AF$301,"&lt;"&amp;AF283)+1)</f>
        <v/>
      </c>
      <c r="AH283" s="41">
        <f>IF(A283="",0,IF(OR(AA283=0,AND(B283="OK",OR(C283&lt;=D283+N(O283)*Settings!$C$6,Settings!$C$10-AA283&gt;Settings!$C$8*7))),1,0))</f>
        <v/>
      </c>
      <c r="AI283" s="41">
        <f>IF(AH283=0,"",IF(AA283=0,"Never counted",IF(C283&lt;=D283+N(O283)*Settings!$C$6,"Near the reorder point","Not counted for "&amp;INT((Settings!$C$10-AA283)/7)&amp;" weeks")))</f>
        <v/>
      </c>
      <c r="AJ283" s="41">
        <f>IF(AH283=1,IFERROR(MATCH(M283,Settings!$G$19:$G$38,0),99)*1000+ROW(),"")</f>
        <v/>
      </c>
      <c r="AK283" s="41">
        <f>IF(AJ283="","",COUNTIF('Stock list'!$AJ$2:$AJ$301,"&lt;"&amp;AJ283)+1)</f>
        <v/>
      </c>
      <c r="AL283" s="41">
        <f>IF(OR(A283="",N(AC283)=0),"",AC283+ROW()/1000000)</f>
        <v/>
      </c>
    </row>
    <row r="284">
      <c r="A284" s="24" t="n"/>
      <c r="B284" s="30">
        <f>IF(A284="","",IF(AA284=0,"No count",IF(AND(N(O284)&gt;0,C284/O284*7&lt;Q284),"Critical",IF(F284&gt;0,"On order",IF(AND(D284&gt;0,C284&lt;=D284),"Order now","OK")))))</f>
        <v/>
      </c>
      <c r="C284" s="31">
        <f>IF(A284="","",MAX(0,IF(_xlfn.MAXIFS(Log!$A$2:$A$1001,Log!$B$2:$B$1001,A284,Log!$C$2:$C$1001,"Count")&gt;N(S284),_xlfn.MAXIFS(Log!$D$2:$D$1001,Log!$B$2:$B$1001,A284,Log!$C$2:$C$1001,"Count",Log!$A$2:$A$1001,AA284),N(R284))+SUMIFS(Log!$D$2:$D$1001,Log!$B$2:$B$1001,A284,Log!$C$2:$C$1001,"Received",Log!$A$2:$A$1001,"&gt;"&amp;AA284)-SUMIFS(Log!$D$2:$D$1001,Log!$B$2:$B$1001,A284,Log!$C$2:$C$1001,"Used",Log!$A$2:$A$1001,"&gt;"&amp;AA284)+SUMIFS(Log!$D$2:$D$1001,Log!$B$2:$B$1001,A284,Log!$C$2:$C$1001,"Adjustment",Log!$A$2:$A$1001,"&gt;"&amp;AA284)))</f>
        <v/>
      </c>
      <c r="D284" s="32">
        <f>IF(A284="","",IF(X284&lt;&gt;"",X284,W284))</f>
        <v/>
      </c>
      <c r="E284" s="33">
        <f>IF(OR(A284="",N(O284)=0),"",C284/O284)</f>
        <v/>
      </c>
      <c r="F284" s="31">
        <f>IF(A284="","",MAX(0,N(T284)-SUMIFS(Log!$D$2:$D$1001,Log!$B$2:$B$1001,A284,Log!$C$2:$C$1001,"Received",Log!$A$2:$A$1001,"&gt;="&amp;N(U284))))</f>
        <v/>
      </c>
      <c r="G284" s="24" t="n"/>
      <c r="H284" s="24" t="n"/>
      <c r="I284" s="24" t="n"/>
      <c r="J284" s="24" t="n"/>
      <c r="K284" s="24" t="n"/>
      <c r="L284" s="34" t="n"/>
      <c r="M284" s="24" t="n"/>
      <c r="N284" s="24" t="n"/>
      <c r="O284" s="35" t="n"/>
      <c r="P284" s="25" t="n"/>
      <c r="Q284" s="36">
        <f>IF(A284="","",IF(P284&lt;&gt;"",P284,IFERROR(IF(N(INDEX(Suppliers!$E$5:$E$24,MATCH(H284,Suppliers!$B$5:$B$24,0)))&gt;0,INDEX(Suppliers!$E$5:$E$24,MATCH(H284,Suppliers!$B$5:$B$24,0)),5),5)))</f>
        <v/>
      </c>
      <c r="R284" s="35" t="n"/>
      <c r="S284" s="37" t="n"/>
      <c r="T284" s="25" t="n"/>
      <c r="U284" s="37" t="n"/>
      <c r="V284" s="37" t="n"/>
      <c r="W284" s="36">
        <f>IF(A284="","",ROUNDUP(N(O284)*(Q284/7+Settings!$C$5),0))</f>
        <v/>
      </c>
      <c r="X284" s="25" t="n"/>
      <c r="Y284" s="25" t="n"/>
      <c r="Z284" s="32">
        <f>IF(A284="","",IF(Y284&lt;&gt;"",Y284,MAX(1,ROUNDUP(N(O284)*Settings!$C$7,0))))</f>
        <v/>
      </c>
      <c r="AA284" s="38">
        <f>IF(A284="","",MAX(N(S284),_xlfn.MAXIFS(Log!$A$2:$A$1001,Log!$B$2:$B$1001,A284,Log!$C$2:$C$1001,"Count")))</f>
        <v/>
      </c>
      <c r="AB284" s="39">
        <f>IF(A284="","",Z284*N(L284))</f>
        <v/>
      </c>
      <c r="AC284" s="40">
        <f>IF(A284="","",N(O284)*52*N(L284))</f>
        <v/>
      </c>
      <c r="AD284" s="39">
        <f>IF(A284="","",C284*N(L284))</f>
        <v/>
      </c>
      <c r="AE284" s="41">
        <f>IF(A284="",0,IF(AND(OR(B284="Order now",B284="Critical"),F284=0),1,0))</f>
        <v/>
      </c>
      <c r="AF284" s="41">
        <f>IF(AE284=1,IFERROR(MATCH(H284,Suppliers!$B$5:$B$24,0),99)*1000+ROW(),"")</f>
        <v/>
      </c>
      <c r="AG284" s="41">
        <f>IF(AF284="","",COUNTIF('Stock list'!$AF$2:$AF$301,"&lt;"&amp;AF284)+1)</f>
        <v/>
      </c>
      <c r="AH284" s="41">
        <f>IF(A284="",0,IF(OR(AA284=0,AND(B284="OK",OR(C284&lt;=D284+N(O284)*Settings!$C$6,Settings!$C$10-AA284&gt;Settings!$C$8*7))),1,0))</f>
        <v/>
      </c>
      <c r="AI284" s="41">
        <f>IF(AH284=0,"",IF(AA284=0,"Never counted",IF(C284&lt;=D284+N(O284)*Settings!$C$6,"Near the reorder point","Not counted for "&amp;INT((Settings!$C$10-AA284)/7)&amp;" weeks")))</f>
        <v/>
      </c>
      <c r="AJ284" s="41">
        <f>IF(AH284=1,IFERROR(MATCH(M284,Settings!$G$19:$G$38,0),99)*1000+ROW(),"")</f>
        <v/>
      </c>
      <c r="AK284" s="41">
        <f>IF(AJ284="","",COUNTIF('Stock list'!$AJ$2:$AJ$301,"&lt;"&amp;AJ284)+1)</f>
        <v/>
      </c>
      <c r="AL284" s="41">
        <f>IF(OR(A284="",N(AC284)=0),"",AC284+ROW()/1000000)</f>
        <v/>
      </c>
    </row>
    <row r="285">
      <c r="A285" s="24" t="n"/>
      <c r="B285" s="30">
        <f>IF(A285="","",IF(AA285=0,"No count",IF(AND(N(O285)&gt;0,C285/O285*7&lt;Q285),"Critical",IF(F285&gt;0,"On order",IF(AND(D285&gt;0,C285&lt;=D285),"Order now","OK")))))</f>
        <v/>
      </c>
      <c r="C285" s="31">
        <f>IF(A285="","",MAX(0,IF(_xlfn.MAXIFS(Log!$A$2:$A$1001,Log!$B$2:$B$1001,A285,Log!$C$2:$C$1001,"Count")&gt;N(S285),_xlfn.MAXIFS(Log!$D$2:$D$1001,Log!$B$2:$B$1001,A285,Log!$C$2:$C$1001,"Count",Log!$A$2:$A$1001,AA285),N(R285))+SUMIFS(Log!$D$2:$D$1001,Log!$B$2:$B$1001,A285,Log!$C$2:$C$1001,"Received",Log!$A$2:$A$1001,"&gt;"&amp;AA285)-SUMIFS(Log!$D$2:$D$1001,Log!$B$2:$B$1001,A285,Log!$C$2:$C$1001,"Used",Log!$A$2:$A$1001,"&gt;"&amp;AA285)+SUMIFS(Log!$D$2:$D$1001,Log!$B$2:$B$1001,A285,Log!$C$2:$C$1001,"Adjustment",Log!$A$2:$A$1001,"&gt;"&amp;AA285)))</f>
        <v/>
      </c>
      <c r="D285" s="32">
        <f>IF(A285="","",IF(X285&lt;&gt;"",X285,W285))</f>
        <v/>
      </c>
      <c r="E285" s="33">
        <f>IF(OR(A285="",N(O285)=0),"",C285/O285)</f>
        <v/>
      </c>
      <c r="F285" s="31">
        <f>IF(A285="","",MAX(0,N(T285)-SUMIFS(Log!$D$2:$D$1001,Log!$B$2:$B$1001,A285,Log!$C$2:$C$1001,"Received",Log!$A$2:$A$1001,"&gt;="&amp;N(U285))))</f>
        <v/>
      </c>
      <c r="G285" s="24" t="n"/>
      <c r="H285" s="24" t="n"/>
      <c r="I285" s="24" t="n"/>
      <c r="J285" s="24" t="n"/>
      <c r="K285" s="24" t="n"/>
      <c r="L285" s="34" t="n"/>
      <c r="M285" s="24" t="n"/>
      <c r="N285" s="24" t="n"/>
      <c r="O285" s="35" t="n"/>
      <c r="P285" s="25" t="n"/>
      <c r="Q285" s="36">
        <f>IF(A285="","",IF(P285&lt;&gt;"",P285,IFERROR(IF(N(INDEX(Suppliers!$E$5:$E$24,MATCH(H285,Suppliers!$B$5:$B$24,0)))&gt;0,INDEX(Suppliers!$E$5:$E$24,MATCH(H285,Suppliers!$B$5:$B$24,0)),5),5)))</f>
        <v/>
      </c>
      <c r="R285" s="35" t="n"/>
      <c r="S285" s="37" t="n"/>
      <c r="T285" s="25" t="n"/>
      <c r="U285" s="37" t="n"/>
      <c r="V285" s="37" t="n"/>
      <c r="W285" s="36">
        <f>IF(A285="","",ROUNDUP(N(O285)*(Q285/7+Settings!$C$5),0))</f>
        <v/>
      </c>
      <c r="X285" s="25" t="n"/>
      <c r="Y285" s="25" t="n"/>
      <c r="Z285" s="32">
        <f>IF(A285="","",IF(Y285&lt;&gt;"",Y285,MAX(1,ROUNDUP(N(O285)*Settings!$C$7,0))))</f>
        <v/>
      </c>
      <c r="AA285" s="38">
        <f>IF(A285="","",MAX(N(S285),_xlfn.MAXIFS(Log!$A$2:$A$1001,Log!$B$2:$B$1001,A285,Log!$C$2:$C$1001,"Count")))</f>
        <v/>
      </c>
      <c r="AB285" s="39">
        <f>IF(A285="","",Z285*N(L285))</f>
        <v/>
      </c>
      <c r="AC285" s="40">
        <f>IF(A285="","",N(O285)*52*N(L285))</f>
        <v/>
      </c>
      <c r="AD285" s="39">
        <f>IF(A285="","",C285*N(L285))</f>
        <v/>
      </c>
      <c r="AE285" s="41">
        <f>IF(A285="",0,IF(AND(OR(B285="Order now",B285="Critical"),F285=0),1,0))</f>
        <v/>
      </c>
      <c r="AF285" s="41">
        <f>IF(AE285=1,IFERROR(MATCH(H285,Suppliers!$B$5:$B$24,0),99)*1000+ROW(),"")</f>
        <v/>
      </c>
      <c r="AG285" s="41">
        <f>IF(AF285="","",COUNTIF('Stock list'!$AF$2:$AF$301,"&lt;"&amp;AF285)+1)</f>
        <v/>
      </c>
      <c r="AH285" s="41">
        <f>IF(A285="",0,IF(OR(AA285=0,AND(B285="OK",OR(C285&lt;=D285+N(O285)*Settings!$C$6,Settings!$C$10-AA285&gt;Settings!$C$8*7))),1,0))</f>
        <v/>
      </c>
      <c r="AI285" s="41">
        <f>IF(AH285=0,"",IF(AA285=0,"Never counted",IF(C285&lt;=D285+N(O285)*Settings!$C$6,"Near the reorder point","Not counted for "&amp;INT((Settings!$C$10-AA285)/7)&amp;" weeks")))</f>
        <v/>
      </c>
      <c r="AJ285" s="41">
        <f>IF(AH285=1,IFERROR(MATCH(M285,Settings!$G$19:$G$38,0),99)*1000+ROW(),"")</f>
        <v/>
      </c>
      <c r="AK285" s="41">
        <f>IF(AJ285="","",COUNTIF('Stock list'!$AJ$2:$AJ$301,"&lt;"&amp;AJ285)+1)</f>
        <v/>
      </c>
      <c r="AL285" s="41">
        <f>IF(OR(A285="",N(AC285)=0),"",AC285+ROW()/1000000)</f>
        <v/>
      </c>
    </row>
    <row r="286">
      <c r="A286" s="24" t="n"/>
      <c r="B286" s="30">
        <f>IF(A286="","",IF(AA286=0,"No count",IF(AND(N(O286)&gt;0,C286/O286*7&lt;Q286),"Critical",IF(F286&gt;0,"On order",IF(AND(D286&gt;0,C286&lt;=D286),"Order now","OK")))))</f>
        <v/>
      </c>
      <c r="C286" s="31">
        <f>IF(A286="","",MAX(0,IF(_xlfn.MAXIFS(Log!$A$2:$A$1001,Log!$B$2:$B$1001,A286,Log!$C$2:$C$1001,"Count")&gt;N(S286),_xlfn.MAXIFS(Log!$D$2:$D$1001,Log!$B$2:$B$1001,A286,Log!$C$2:$C$1001,"Count",Log!$A$2:$A$1001,AA286),N(R286))+SUMIFS(Log!$D$2:$D$1001,Log!$B$2:$B$1001,A286,Log!$C$2:$C$1001,"Received",Log!$A$2:$A$1001,"&gt;"&amp;AA286)-SUMIFS(Log!$D$2:$D$1001,Log!$B$2:$B$1001,A286,Log!$C$2:$C$1001,"Used",Log!$A$2:$A$1001,"&gt;"&amp;AA286)+SUMIFS(Log!$D$2:$D$1001,Log!$B$2:$B$1001,A286,Log!$C$2:$C$1001,"Adjustment",Log!$A$2:$A$1001,"&gt;"&amp;AA286)))</f>
        <v/>
      </c>
      <c r="D286" s="32">
        <f>IF(A286="","",IF(X286&lt;&gt;"",X286,W286))</f>
        <v/>
      </c>
      <c r="E286" s="33">
        <f>IF(OR(A286="",N(O286)=0),"",C286/O286)</f>
        <v/>
      </c>
      <c r="F286" s="31">
        <f>IF(A286="","",MAX(0,N(T286)-SUMIFS(Log!$D$2:$D$1001,Log!$B$2:$B$1001,A286,Log!$C$2:$C$1001,"Received",Log!$A$2:$A$1001,"&gt;="&amp;N(U286))))</f>
        <v/>
      </c>
      <c r="G286" s="24" t="n"/>
      <c r="H286" s="24" t="n"/>
      <c r="I286" s="24" t="n"/>
      <c r="J286" s="24" t="n"/>
      <c r="K286" s="24" t="n"/>
      <c r="L286" s="34" t="n"/>
      <c r="M286" s="24" t="n"/>
      <c r="N286" s="24" t="n"/>
      <c r="O286" s="35" t="n"/>
      <c r="P286" s="25" t="n"/>
      <c r="Q286" s="36">
        <f>IF(A286="","",IF(P286&lt;&gt;"",P286,IFERROR(IF(N(INDEX(Suppliers!$E$5:$E$24,MATCH(H286,Suppliers!$B$5:$B$24,0)))&gt;0,INDEX(Suppliers!$E$5:$E$24,MATCH(H286,Suppliers!$B$5:$B$24,0)),5),5)))</f>
        <v/>
      </c>
      <c r="R286" s="35" t="n"/>
      <c r="S286" s="37" t="n"/>
      <c r="T286" s="25" t="n"/>
      <c r="U286" s="37" t="n"/>
      <c r="V286" s="37" t="n"/>
      <c r="W286" s="36">
        <f>IF(A286="","",ROUNDUP(N(O286)*(Q286/7+Settings!$C$5),0))</f>
        <v/>
      </c>
      <c r="X286" s="25" t="n"/>
      <c r="Y286" s="25" t="n"/>
      <c r="Z286" s="32">
        <f>IF(A286="","",IF(Y286&lt;&gt;"",Y286,MAX(1,ROUNDUP(N(O286)*Settings!$C$7,0))))</f>
        <v/>
      </c>
      <c r="AA286" s="38">
        <f>IF(A286="","",MAX(N(S286),_xlfn.MAXIFS(Log!$A$2:$A$1001,Log!$B$2:$B$1001,A286,Log!$C$2:$C$1001,"Count")))</f>
        <v/>
      </c>
      <c r="AB286" s="39">
        <f>IF(A286="","",Z286*N(L286))</f>
        <v/>
      </c>
      <c r="AC286" s="40">
        <f>IF(A286="","",N(O286)*52*N(L286))</f>
        <v/>
      </c>
      <c r="AD286" s="39">
        <f>IF(A286="","",C286*N(L286))</f>
        <v/>
      </c>
      <c r="AE286" s="41">
        <f>IF(A286="",0,IF(AND(OR(B286="Order now",B286="Critical"),F286=0),1,0))</f>
        <v/>
      </c>
      <c r="AF286" s="41">
        <f>IF(AE286=1,IFERROR(MATCH(H286,Suppliers!$B$5:$B$24,0),99)*1000+ROW(),"")</f>
        <v/>
      </c>
      <c r="AG286" s="41">
        <f>IF(AF286="","",COUNTIF('Stock list'!$AF$2:$AF$301,"&lt;"&amp;AF286)+1)</f>
        <v/>
      </c>
      <c r="AH286" s="41">
        <f>IF(A286="",0,IF(OR(AA286=0,AND(B286="OK",OR(C286&lt;=D286+N(O286)*Settings!$C$6,Settings!$C$10-AA286&gt;Settings!$C$8*7))),1,0))</f>
        <v/>
      </c>
      <c r="AI286" s="41">
        <f>IF(AH286=0,"",IF(AA286=0,"Never counted",IF(C286&lt;=D286+N(O286)*Settings!$C$6,"Near the reorder point","Not counted for "&amp;INT((Settings!$C$10-AA286)/7)&amp;" weeks")))</f>
        <v/>
      </c>
      <c r="AJ286" s="41">
        <f>IF(AH286=1,IFERROR(MATCH(M286,Settings!$G$19:$G$38,0),99)*1000+ROW(),"")</f>
        <v/>
      </c>
      <c r="AK286" s="41">
        <f>IF(AJ286="","",COUNTIF('Stock list'!$AJ$2:$AJ$301,"&lt;"&amp;AJ286)+1)</f>
        <v/>
      </c>
      <c r="AL286" s="41">
        <f>IF(OR(A286="",N(AC286)=0),"",AC286+ROW()/1000000)</f>
        <v/>
      </c>
    </row>
    <row r="287">
      <c r="A287" s="24" t="n"/>
      <c r="B287" s="30">
        <f>IF(A287="","",IF(AA287=0,"No count",IF(AND(N(O287)&gt;0,C287/O287*7&lt;Q287),"Critical",IF(F287&gt;0,"On order",IF(AND(D287&gt;0,C287&lt;=D287),"Order now","OK")))))</f>
        <v/>
      </c>
      <c r="C287" s="31">
        <f>IF(A287="","",MAX(0,IF(_xlfn.MAXIFS(Log!$A$2:$A$1001,Log!$B$2:$B$1001,A287,Log!$C$2:$C$1001,"Count")&gt;N(S287),_xlfn.MAXIFS(Log!$D$2:$D$1001,Log!$B$2:$B$1001,A287,Log!$C$2:$C$1001,"Count",Log!$A$2:$A$1001,AA287),N(R287))+SUMIFS(Log!$D$2:$D$1001,Log!$B$2:$B$1001,A287,Log!$C$2:$C$1001,"Received",Log!$A$2:$A$1001,"&gt;"&amp;AA287)-SUMIFS(Log!$D$2:$D$1001,Log!$B$2:$B$1001,A287,Log!$C$2:$C$1001,"Used",Log!$A$2:$A$1001,"&gt;"&amp;AA287)+SUMIFS(Log!$D$2:$D$1001,Log!$B$2:$B$1001,A287,Log!$C$2:$C$1001,"Adjustment",Log!$A$2:$A$1001,"&gt;"&amp;AA287)))</f>
        <v/>
      </c>
      <c r="D287" s="32">
        <f>IF(A287="","",IF(X287&lt;&gt;"",X287,W287))</f>
        <v/>
      </c>
      <c r="E287" s="33">
        <f>IF(OR(A287="",N(O287)=0),"",C287/O287)</f>
        <v/>
      </c>
      <c r="F287" s="31">
        <f>IF(A287="","",MAX(0,N(T287)-SUMIFS(Log!$D$2:$D$1001,Log!$B$2:$B$1001,A287,Log!$C$2:$C$1001,"Received",Log!$A$2:$A$1001,"&gt;="&amp;N(U287))))</f>
        <v/>
      </c>
      <c r="G287" s="24" t="n"/>
      <c r="H287" s="24" t="n"/>
      <c r="I287" s="24" t="n"/>
      <c r="J287" s="24" t="n"/>
      <c r="K287" s="24" t="n"/>
      <c r="L287" s="34" t="n"/>
      <c r="M287" s="24" t="n"/>
      <c r="N287" s="24" t="n"/>
      <c r="O287" s="35" t="n"/>
      <c r="P287" s="25" t="n"/>
      <c r="Q287" s="36">
        <f>IF(A287="","",IF(P287&lt;&gt;"",P287,IFERROR(IF(N(INDEX(Suppliers!$E$5:$E$24,MATCH(H287,Suppliers!$B$5:$B$24,0)))&gt;0,INDEX(Suppliers!$E$5:$E$24,MATCH(H287,Suppliers!$B$5:$B$24,0)),5),5)))</f>
        <v/>
      </c>
      <c r="R287" s="35" t="n"/>
      <c r="S287" s="37" t="n"/>
      <c r="T287" s="25" t="n"/>
      <c r="U287" s="37" t="n"/>
      <c r="V287" s="37" t="n"/>
      <c r="W287" s="36">
        <f>IF(A287="","",ROUNDUP(N(O287)*(Q287/7+Settings!$C$5),0))</f>
        <v/>
      </c>
      <c r="X287" s="25" t="n"/>
      <c r="Y287" s="25" t="n"/>
      <c r="Z287" s="32">
        <f>IF(A287="","",IF(Y287&lt;&gt;"",Y287,MAX(1,ROUNDUP(N(O287)*Settings!$C$7,0))))</f>
        <v/>
      </c>
      <c r="AA287" s="38">
        <f>IF(A287="","",MAX(N(S287),_xlfn.MAXIFS(Log!$A$2:$A$1001,Log!$B$2:$B$1001,A287,Log!$C$2:$C$1001,"Count")))</f>
        <v/>
      </c>
      <c r="AB287" s="39">
        <f>IF(A287="","",Z287*N(L287))</f>
        <v/>
      </c>
      <c r="AC287" s="40">
        <f>IF(A287="","",N(O287)*52*N(L287))</f>
        <v/>
      </c>
      <c r="AD287" s="39">
        <f>IF(A287="","",C287*N(L287))</f>
        <v/>
      </c>
      <c r="AE287" s="41">
        <f>IF(A287="",0,IF(AND(OR(B287="Order now",B287="Critical"),F287=0),1,0))</f>
        <v/>
      </c>
      <c r="AF287" s="41">
        <f>IF(AE287=1,IFERROR(MATCH(H287,Suppliers!$B$5:$B$24,0),99)*1000+ROW(),"")</f>
        <v/>
      </c>
      <c r="AG287" s="41">
        <f>IF(AF287="","",COUNTIF('Stock list'!$AF$2:$AF$301,"&lt;"&amp;AF287)+1)</f>
        <v/>
      </c>
      <c r="AH287" s="41">
        <f>IF(A287="",0,IF(OR(AA287=0,AND(B287="OK",OR(C287&lt;=D287+N(O287)*Settings!$C$6,Settings!$C$10-AA287&gt;Settings!$C$8*7))),1,0))</f>
        <v/>
      </c>
      <c r="AI287" s="41">
        <f>IF(AH287=0,"",IF(AA287=0,"Never counted",IF(C287&lt;=D287+N(O287)*Settings!$C$6,"Near the reorder point","Not counted for "&amp;INT((Settings!$C$10-AA287)/7)&amp;" weeks")))</f>
        <v/>
      </c>
      <c r="AJ287" s="41">
        <f>IF(AH287=1,IFERROR(MATCH(M287,Settings!$G$19:$G$38,0),99)*1000+ROW(),"")</f>
        <v/>
      </c>
      <c r="AK287" s="41">
        <f>IF(AJ287="","",COUNTIF('Stock list'!$AJ$2:$AJ$301,"&lt;"&amp;AJ287)+1)</f>
        <v/>
      </c>
      <c r="AL287" s="41">
        <f>IF(OR(A287="",N(AC287)=0),"",AC287+ROW()/1000000)</f>
        <v/>
      </c>
    </row>
    <row r="288">
      <c r="A288" s="24" t="n"/>
      <c r="B288" s="30">
        <f>IF(A288="","",IF(AA288=0,"No count",IF(AND(N(O288)&gt;0,C288/O288*7&lt;Q288),"Critical",IF(F288&gt;0,"On order",IF(AND(D288&gt;0,C288&lt;=D288),"Order now","OK")))))</f>
        <v/>
      </c>
      <c r="C288" s="31">
        <f>IF(A288="","",MAX(0,IF(_xlfn.MAXIFS(Log!$A$2:$A$1001,Log!$B$2:$B$1001,A288,Log!$C$2:$C$1001,"Count")&gt;N(S288),_xlfn.MAXIFS(Log!$D$2:$D$1001,Log!$B$2:$B$1001,A288,Log!$C$2:$C$1001,"Count",Log!$A$2:$A$1001,AA288),N(R288))+SUMIFS(Log!$D$2:$D$1001,Log!$B$2:$B$1001,A288,Log!$C$2:$C$1001,"Received",Log!$A$2:$A$1001,"&gt;"&amp;AA288)-SUMIFS(Log!$D$2:$D$1001,Log!$B$2:$B$1001,A288,Log!$C$2:$C$1001,"Used",Log!$A$2:$A$1001,"&gt;"&amp;AA288)+SUMIFS(Log!$D$2:$D$1001,Log!$B$2:$B$1001,A288,Log!$C$2:$C$1001,"Adjustment",Log!$A$2:$A$1001,"&gt;"&amp;AA288)))</f>
        <v/>
      </c>
      <c r="D288" s="32">
        <f>IF(A288="","",IF(X288&lt;&gt;"",X288,W288))</f>
        <v/>
      </c>
      <c r="E288" s="33">
        <f>IF(OR(A288="",N(O288)=0),"",C288/O288)</f>
        <v/>
      </c>
      <c r="F288" s="31">
        <f>IF(A288="","",MAX(0,N(T288)-SUMIFS(Log!$D$2:$D$1001,Log!$B$2:$B$1001,A288,Log!$C$2:$C$1001,"Received",Log!$A$2:$A$1001,"&gt;="&amp;N(U288))))</f>
        <v/>
      </c>
      <c r="G288" s="24" t="n"/>
      <c r="H288" s="24" t="n"/>
      <c r="I288" s="24" t="n"/>
      <c r="J288" s="24" t="n"/>
      <c r="K288" s="24" t="n"/>
      <c r="L288" s="34" t="n"/>
      <c r="M288" s="24" t="n"/>
      <c r="N288" s="24" t="n"/>
      <c r="O288" s="35" t="n"/>
      <c r="P288" s="25" t="n"/>
      <c r="Q288" s="36">
        <f>IF(A288="","",IF(P288&lt;&gt;"",P288,IFERROR(IF(N(INDEX(Suppliers!$E$5:$E$24,MATCH(H288,Suppliers!$B$5:$B$24,0)))&gt;0,INDEX(Suppliers!$E$5:$E$24,MATCH(H288,Suppliers!$B$5:$B$24,0)),5),5)))</f>
        <v/>
      </c>
      <c r="R288" s="35" t="n"/>
      <c r="S288" s="37" t="n"/>
      <c r="T288" s="25" t="n"/>
      <c r="U288" s="37" t="n"/>
      <c r="V288" s="37" t="n"/>
      <c r="W288" s="36">
        <f>IF(A288="","",ROUNDUP(N(O288)*(Q288/7+Settings!$C$5),0))</f>
        <v/>
      </c>
      <c r="X288" s="25" t="n"/>
      <c r="Y288" s="25" t="n"/>
      <c r="Z288" s="32">
        <f>IF(A288="","",IF(Y288&lt;&gt;"",Y288,MAX(1,ROUNDUP(N(O288)*Settings!$C$7,0))))</f>
        <v/>
      </c>
      <c r="AA288" s="38">
        <f>IF(A288="","",MAX(N(S288),_xlfn.MAXIFS(Log!$A$2:$A$1001,Log!$B$2:$B$1001,A288,Log!$C$2:$C$1001,"Count")))</f>
        <v/>
      </c>
      <c r="AB288" s="39">
        <f>IF(A288="","",Z288*N(L288))</f>
        <v/>
      </c>
      <c r="AC288" s="40">
        <f>IF(A288="","",N(O288)*52*N(L288))</f>
        <v/>
      </c>
      <c r="AD288" s="39">
        <f>IF(A288="","",C288*N(L288))</f>
        <v/>
      </c>
      <c r="AE288" s="41">
        <f>IF(A288="",0,IF(AND(OR(B288="Order now",B288="Critical"),F288=0),1,0))</f>
        <v/>
      </c>
      <c r="AF288" s="41">
        <f>IF(AE288=1,IFERROR(MATCH(H288,Suppliers!$B$5:$B$24,0),99)*1000+ROW(),"")</f>
        <v/>
      </c>
      <c r="AG288" s="41">
        <f>IF(AF288="","",COUNTIF('Stock list'!$AF$2:$AF$301,"&lt;"&amp;AF288)+1)</f>
        <v/>
      </c>
      <c r="AH288" s="41">
        <f>IF(A288="",0,IF(OR(AA288=0,AND(B288="OK",OR(C288&lt;=D288+N(O288)*Settings!$C$6,Settings!$C$10-AA288&gt;Settings!$C$8*7))),1,0))</f>
        <v/>
      </c>
      <c r="AI288" s="41">
        <f>IF(AH288=0,"",IF(AA288=0,"Never counted",IF(C288&lt;=D288+N(O288)*Settings!$C$6,"Near the reorder point","Not counted for "&amp;INT((Settings!$C$10-AA288)/7)&amp;" weeks")))</f>
        <v/>
      </c>
      <c r="AJ288" s="41">
        <f>IF(AH288=1,IFERROR(MATCH(M288,Settings!$G$19:$G$38,0),99)*1000+ROW(),"")</f>
        <v/>
      </c>
      <c r="AK288" s="41">
        <f>IF(AJ288="","",COUNTIF('Stock list'!$AJ$2:$AJ$301,"&lt;"&amp;AJ288)+1)</f>
        <v/>
      </c>
      <c r="AL288" s="41">
        <f>IF(OR(A288="",N(AC288)=0),"",AC288+ROW()/1000000)</f>
        <v/>
      </c>
    </row>
    <row r="289">
      <c r="A289" s="24" t="n"/>
      <c r="B289" s="30">
        <f>IF(A289="","",IF(AA289=0,"No count",IF(AND(N(O289)&gt;0,C289/O289*7&lt;Q289),"Critical",IF(F289&gt;0,"On order",IF(AND(D289&gt;0,C289&lt;=D289),"Order now","OK")))))</f>
        <v/>
      </c>
      <c r="C289" s="31">
        <f>IF(A289="","",MAX(0,IF(_xlfn.MAXIFS(Log!$A$2:$A$1001,Log!$B$2:$B$1001,A289,Log!$C$2:$C$1001,"Count")&gt;N(S289),_xlfn.MAXIFS(Log!$D$2:$D$1001,Log!$B$2:$B$1001,A289,Log!$C$2:$C$1001,"Count",Log!$A$2:$A$1001,AA289),N(R289))+SUMIFS(Log!$D$2:$D$1001,Log!$B$2:$B$1001,A289,Log!$C$2:$C$1001,"Received",Log!$A$2:$A$1001,"&gt;"&amp;AA289)-SUMIFS(Log!$D$2:$D$1001,Log!$B$2:$B$1001,A289,Log!$C$2:$C$1001,"Used",Log!$A$2:$A$1001,"&gt;"&amp;AA289)+SUMIFS(Log!$D$2:$D$1001,Log!$B$2:$B$1001,A289,Log!$C$2:$C$1001,"Adjustment",Log!$A$2:$A$1001,"&gt;"&amp;AA289)))</f>
        <v/>
      </c>
      <c r="D289" s="32">
        <f>IF(A289="","",IF(X289&lt;&gt;"",X289,W289))</f>
        <v/>
      </c>
      <c r="E289" s="33">
        <f>IF(OR(A289="",N(O289)=0),"",C289/O289)</f>
        <v/>
      </c>
      <c r="F289" s="31">
        <f>IF(A289="","",MAX(0,N(T289)-SUMIFS(Log!$D$2:$D$1001,Log!$B$2:$B$1001,A289,Log!$C$2:$C$1001,"Received",Log!$A$2:$A$1001,"&gt;="&amp;N(U289))))</f>
        <v/>
      </c>
      <c r="G289" s="24" t="n"/>
      <c r="H289" s="24" t="n"/>
      <c r="I289" s="24" t="n"/>
      <c r="J289" s="24" t="n"/>
      <c r="K289" s="24" t="n"/>
      <c r="L289" s="34" t="n"/>
      <c r="M289" s="24" t="n"/>
      <c r="N289" s="24" t="n"/>
      <c r="O289" s="35" t="n"/>
      <c r="P289" s="25" t="n"/>
      <c r="Q289" s="36">
        <f>IF(A289="","",IF(P289&lt;&gt;"",P289,IFERROR(IF(N(INDEX(Suppliers!$E$5:$E$24,MATCH(H289,Suppliers!$B$5:$B$24,0)))&gt;0,INDEX(Suppliers!$E$5:$E$24,MATCH(H289,Suppliers!$B$5:$B$24,0)),5),5)))</f>
        <v/>
      </c>
      <c r="R289" s="35" t="n"/>
      <c r="S289" s="37" t="n"/>
      <c r="T289" s="25" t="n"/>
      <c r="U289" s="37" t="n"/>
      <c r="V289" s="37" t="n"/>
      <c r="W289" s="36">
        <f>IF(A289="","",ROUNDUP(N(O289)*(Q289/7+Settings!$C$5),0))</f>
        <v/>
      </c>
      <c r="X289" s="25" t="n"/>
      <c r="Y289" s="25" t="n"/>
      <c r="Z289" s="32">
        <f>IF(A289="","",IF(Y289&lt;&gt;"",Y289,MAX(1,ROUNDUP(N(O289)*Settings!$C$7,0))))</f>
        <v/>
      </c>
      <c r="AA289" s="38">
        <f>IF(A289="","",MAX(N(S289),_xlfn.MAXIFS(Log!$A$2:$A$1001,Log!$B$2:$B$1001,A289,Log!$C$2:$C$1001,"Count")))</f>
        <v/>
      </c>
      <c r="AB289" s="39">
        <f>IF(A289="","",Z289*N(L289))</f>
        <v/>
      </c>
      <c r="AC289" s="40">
        <f>IF(A289="","",N(O289)*52*N(L289))</f>
        <v/>
      </c>
      <c r="AD289" s="39">
        <f>IF(A289="","",C289*N(L289))</f>
        <v/>
      </c>
      <c r="AE289" s="41">
        <f>IF(A289="",0,IF(AND(OR(B289="Order now",B289="Critical"),F289=0),1,0))</f>
        <v/>
      </c>
      <c r="AF289" s="41">
        <f>IF(AE289=1,IFERROR(MATCH(H289,Suppliers!$B$5:$B$24,0),99)*1000+ROW(),"")</f>
        <v/>
      </c>
      <c r="AG289" s="41">
        <f>IF(AF289="","",COUNTIF('Stock list'!$AF$2:$AF$301,"&lt;"&amp;AF289)+1)</f>
        <v/>
      </c>
      <c r="AH289" s="41">
        <f>IF(A289="",0,IF(OR(AA289=0,AND(B289="OK",OR(C289&lt;=D289+N(O289)*Settings!$C$6,Settings!$C$10-AA289&gt;Settings!$C$8*7))),1,0))</f>
        <v/>
      </c>
      <c r="AI289" s="41">
        <f>IF(AH289=0,"",IF(AA289=0,"Never counted",IF(C289&lt;=D289+N(O289)*Settings!$C$6,"Near the reorder point","Not counted for "&amp;INT((Settings!$C$10-AA289)/7)&amp;" weeks")))</f>
        <v/>
      </c>
      <c r="AJ289" s="41">
        <f>IF(AH289=1,IFERROR(MATCH(M289,Settings!$G$19:$G$38,0),99)*1000+ROW(),"")</f>
        <v/>
      </c>
      <c r="AK289" s="41">
        <f>IF(AJ289="","",COUNTIF('Stock list'!$AJ$2:$AJ$301,"&lt;"&amp;AJ289)+1)</f>
        <v/>
      </c>
      <c r="AL289" s="41">
        <f>IF(OR(A289="",N(AC289)=0),"",AC289+ROW()/1000000)</f>
        <v/>
      </c>
    </row>
    <row r="290">
      <c r="A290" s="24" t="n"/>
      <c r="B290" s="30">
        <f>IF(A290="","",IF(AA290=0,"No count",IF(AND(N(O290)&gt;0,C290/O290*7&lt;Q290),"Critical",IF(F290&gt;0,"On order",IF(AND(D290&gt;0,C290&lt;=D290),"Order now","OK")))))</f>
        <v/>
      </c>
      <c r="C290" s="31">
        <f>IF(A290="","",MAX(0,IF(_xlfn.MAXIFS(Log!$A$2:$A$1001,Log!$B$2:$B$1001,A290,Log!$C$2:$C$1001,"Count")&gt;N(S290),_xlfn.MAXIFS(Log!$D$2:$D$1001,Log!$B$2:$B$1001,A290,Log!$C$2:$C$1001,"Count",Log!$A$2:$A$1001,AA290),N(R290))+SUMIFS(Log!$D$2:$D$1001,Log!$B$2:$B$1001,A290,Log!$C$2:$C$1001,"Received",Log!$A$2:$A$1001,"&gt;"&amp;AA290)-SUMIFS(Log!$D$2:$D$1001,Log!$B$2:$B$1001,A290,Log!$C$2:$C$1001,"Used",Log!$A$2:$A$1001,"&gt;"&amp;AA290)+SUMIFS(Log!$D$2:$D$1001,Log!$B$2:$B$1001,A290,Log!$C$2:$C$1001,"Adjustment",Log!$A$2:$A$1001,"&gt;"&amp;AA290)))</f>
        <v/>
      </c>
      <c r="D290" s="32">
        <f>IF(A290="","",IF(X290&lt;&gt;"",X290,W290))</f>
        <v/>
      </c>
      <c r="E290" s="33">
        <f>IF(OR(A290="",N(O290)=0),"",C290/O290)</f>
        <v/>
      </c>
      <c r="F290" s="31">
        <f>IF(A290="","",MAX(0,N(T290)-SUMIFS(Log!$D$2:$D$1001,Log!$B$2:$B$1001,A290,Log!$C$2:$C$1001,"Received",Log!$A$2:$A$1001,"&gt;="&amp;N(U290))))</f>
        <v/>
      </c>
      <c r="G290" s="24" t="n"/>
      <c r="H290" s="24" t="n"/>
      <c r="I290" s="24" t="n"/>
      <c r="J290" s="24" t="n"/>
      <c r="K290" s="24" t="n"/>
      <c r="L290" s="34" t="n"/>
      <c r="M290" s="24" t="n"/>
      <c r="N290" s="24" t="n"/>
      <c r="O290" s="35" t="n"/>
      <c r="P290" s="25" t="n"/>
      <c r="Q290" s="36">
        <f>IF(A290="","",IF(P290&lt;&gt;"",P290,IFERROR(IF(N(INDEX(Suppliers!$E$5:$E$24,MATCH(H290,Suppliers!$B$5:$B$24,0)))&gt;0,INDEX(Suppliers!$E$5:$E$24,MATCH(H290,Suppliers!$B$5:$B$24,0)),5),5)))</f>
        <v/>
      </c>
      <c r="R290" s="35" t="n"/>
      <c r="S290" s="37" t="n"/>
      <c r="T290" s="25" t="n"/>
      <c r="U290" s="37" t="n"/>
      <c r="V290" s="37" t="n"/>
      <c r="W290" s="36">
        <f>IF(A290="","",ROUNDUP(N(O290)*(Q290/7+Settings!$C$5),0))</f>
        <v/>
      </c>
      <c r="X290" s="25" t="n"/>
      <c r="Y290" s="25" t="n"/>
      <c r="Z290" s="32">
        <f>IF(A290="","",IF(Y290&lt;&gt;"",Y290,MAX(1,ROUNDUP(N(O290)*Settings!$C$7,0))))</f>
        <v/>
      </c>
      <c r="AA290" s="38">
        <f>IF(A290="","",MAX(N(S290),_xlfn.MAXIFS(Log!$A$2:$A$1001,Log!$B$2:$B$1001,A290,Log!$C$2:$C$1001,"Count")))</f>
        <v/>
      </c>
      <c r="AB290" s="39">
        <f>IF(A290="","",Z290*N(L290))</f>
        <v/>
      </c>
      <c r="AC290" s="40">
        <f>IF(A290="","",N(O290)*52*N(L290))</f>
        <v/>
      </c>
      <c r="AD290" s="39">
        <f>IF(A290="","",C290*N(L290))</f>
        <v/>
      </c>
      <c r="AE290" s="41">
        <f>IF(A290="",0,IF(AND(OR(B290="Order now",B290="Critical"),F290=0),1,0))</f>
        <v/>
      </c>
      <c r="AF290" s="41">
        <f>IF(AE290=1,IFERROR(MATCH(H290,Suppliers!$B$5:$B$24,0),99)*1000+ROW(),"")</f>
        <v/>
      </c>
      <c r="AG290" s="41">
        <f>IF(AF290="","",COUNTIF('Stock list'!$AF$2:$AF$301,"&lt;"&amp;AF290)+1)</f>
        <v/>
      </c>
      <c r="AH290" s="41">
        <f>IF(A290="",0,IF(OR(AA290=0,AND(B290="OK",OR(C290&lt;=D290+N(O290)*Settings!$C$6,Settings!$C$10-AA290&gt;Settings!$C$8*7))),1,0))</f>
        <v/>
      </c>
      <c r="AI290" s="41">
        <f>IF(AH290=0,"",IF(AA290=0,"Never counted",IF(C290&lt;=D290+N(O290)*Settings!$C$6,"Near the reorder point","Not counted for "&amp;INT((Settings!$C$10-AA290)/7)&amp;" weeks")))</f>
        <v/>
      </c>
      <c r="AJ290" s="41">
        <f>IF(AH290=1,IFERROR(MATCH(M290,Settings!$G$19:$G$38,0),99)*1000+ROW(),"")</f>
        <v/>
      </c>
      <c r="AK290" s="41">
        <f>IF(AJ290="","",COUNTIF('Stock list'!$AJ$2:$AJ$301,"&lt;"&amp;AJ290)+1)</f>
        <v/>
      </c>
      <c r="AL290" s="41">
        <f>IF(OR(A290="",N(AC290)=0),"",AC290+ROW()/1000000)</f>
        <v/>
      </c>
    </row>
    <row r="291">
      <c r="A291" s="24" t="n"/>
      <c r="B291" s="30">
        <f>IF(A291="","",IF(AA291=0,"No count",IF(AND(N(O291)&gt;0,C291/O291*7&lt;Q291),"Critical",IF(F291&gt;0,"On order",IF(AND(D291&gt;0,C291&lt;=D291),"Order now","OK")))))</f>
        <v/>
      </c>
      <c r="C291" s="31">
        <f>IF(A291="","",MAX(0,IF(_xlfn.MAXIFS(Log!$A$2:$A$1001,Log!$B$2:$B$1001,A291,Log!$C$2:$C$1001,"Count")&gt;N(S291),_xlfn.MAXIFS(Log!$D$2:$D$1001,Log!$B$2:$B$1001,A291,Log!$C$2:$C$1001,"Count",Log!$A$2:$A$1001,AA291),N(R291))+SUMIFS(Log!$D$2:$D$1001,Log!$B$2:$B$1001,A291,Log!$C$2:$C$1001,"Received",Log!$A$2:$A$1001,"&gt;"&amp;AA291)-SUMIFS(Log!$D$2:$D$1001,Log!$B$2:$B$1001,A291,Log!$C$2:$C$1001,"Used",Log!$A$2:$A$1001,"&gt;"&amp;AA291)+SUMIFS(Log!$D$2:$D$1001,Log!$B$2:$B$1001,A291,Log!$C$2:$C$1001,"Adjustment",Log!$A$2:$A$1001,"&gt;"&amp;AA291)))</f>
        <v/>
      </c>
      <c r="D291" s="32">
        <f>IF(A291="","",IF(X291&lt;&gt;"",X291,W291))</f>
        <v/>
      </c>
      <c r="E291" s="33">
        <f>IF(OR(A291="",N(O291)=0),"",C291/O291)</f>
        <v/>
      </c>
      <c r="F291" s="31">
        <f>IF(A291="","",MAX(0,N(T291)-SUMIFS(Log!$D$2:$D$1001,Log!$B$2:$B$1001,A291,Log!$C$2:$C$1001,"Received",Log!$A$2:$A$1001,"&gt;="&amp;N(U291))))</f>
        <v/>
      </c>
      <c r="G291" s="24" t="n"/>
      <c r="H291" s="24" t="n"/>
      <c r="I291" s="24" t="n"/>
      <c r="J291" s="24" t="n"/>
      <c r="K291" s="24" t="n"/>
      <c r="L291" s="34" t="n"/>
      <c r="M291" s="24" t="n"/>
      <c r="N291" s="24" t="n"/>
      <c r="O291" s="35" t="n"/>
      <c r="P291" s="25" t="n"/>
      <c r="Q291" s="36">
        <f>IF(A291="","",IF(P291&lt;&gt;"",P291,IFERROR(IF(N(INDEX(Suppliers!$E$5:$E$24,MATCH(H291,Suppliers!$B$5:$B$24,0)))&gt;0,INDEX(Suppliers!$E$5:$E$24,MATCH(H291,Suppliers!$B$5:$B$24,0)),5),5)))</f>
        <v/>
      </c>
      <c r="R291" s="35" t="n"/>
      <c r="S291" s="37" t="n"/>
      <c r="T291" s="25" t="n"/>
      <c r="U291" s="37" t="n"/>
      <c r="V291" s="37" t="n"/>
      <c r="W291" s="36">
        <f>IF(A291="","",ROUNDUP(N(O291)*(Q291/7+Settings!$C$5),0))</f>
        <v/>
      </c>
      <c r="X291" s="25" t="n"/>
      <c r="Y291" s="25" t="n"/>
      <c r="Z291" s="32">
        <f>IF(A291="","",IF(Y291&lt;&gt;"",Y291,MAX(1,ROUNDUP(N(O291)*Settings!$C$7,0))))</f>
        <v/>
      </c>
      <c r="AA291" s="38">
        <f>IF(A291="","",MAX(N(S291),_xlfn.MAXIFS(Log!$A$2:$A$1001,Log!$B$2:$B$1001,A291,Log!$C$2:$C$1001,"Count")))</f>
        <v/>
      </c>
      <c r="AB291" s="39">
        <f>IF(A291="","",Z291*N(L291))</f>
        <v/>
      </c>
      <c r="AC291" s="40">
        <f>IF(A291="","",N(O291)*52*N(L291))</f>
        <v/>
      </c>
      <c r="AD291" s="39">
        <f>IF(A291="","",C291*N(L291))</f>
        <v/>
      </c>
      <c r="AE291" s="41">
        <f>IF(A291="",0,IF(AND(OR(B291="Order now",B291="Critical"),F291=0),1,0))</f>
        <v/>
      </c>
      <c r="AF291" s="41">
        <f>IF(AE291=1,IFERROR(MATCH(H291,Suppliers!$B$5:$B$24,0),99)*1000+ROW(),"")</f>
        <v/>
      </c>
      <c r="AG291" s="41">
        <f>IF(AF291="","",COUNTIF('Stock list'!$AF$2:$AF$301,"&lt;"&amp;AF291)+1)</f>
        <v/>
      </c>
      <c r="AH291" s="41">
        <f>IF(A291="",0,IF(OR(AA291=0,AND(B291="OK",OR(C291&lt;=D291+N(O291)*Settings!$C$6,Settings!$C$10-AA291&gt;Settings!$C$8*7))),1,0))</f>
        <v/>
      </c>
      <c r="AI291" s="41">
        <f>IF(AH291=0,"",IF(AA291=0,"Never counted",IF(C291&lt;=D291+N(O291)*Settings!$C$6,"Near the reorder point","Not counted for "&amp;INT((Settings!$C$10-AA291)/7)&amp;" weeks")))</f>
        <v/>
      </c>
      <c r="AJ291" s="41">
        <f>IF(AH291=1,IFERROR(MATCH(M291,Settings!$G$19:$G$38,0),99)*1000+ROW(),"")</f>
        <v/>
      </c>
      <c r="AK291" s="41">
        <f>IF(AJ291="","",COUNTIF('Stock list'!$AJ$2:$AJ$301,"&lt;"&amp;AJ291)+1)</f>
        <v/>
      </c>
      <c r="AL291" s="41">
        <f>IF(OR(A291="",N(AC291)=0),"",AC291+ROW()/1000000)</f>
        <v/>
      </c>
    </row>
    <row r="292">
      <c r="A292" s="24" t="n"/>
      <c r="B292" s="30">
        <f>IF(A292="","",IF(AA292=0,"No count",IF(AND(N(O292)&gt;0,C292/O292*7&lt;Q292),"Critical",IF(F292&gt;0,"On order",IF(AND(D292&gt;0,C292&lt;=D292),"Order now","OK")))))</f>
        <v/>
      </c>
      <c r="C292" s="31">
        <f>IF(A292="","",MAX(0,IF(_xlfn.MAXIFS(Log!$A$2:$A$1001,Log!$B$2:$B$1001,A292,Log!$C$2:$C$1001,"Count")&gt;N(S292),_xlfn.MAXIFS(Log!$D$2:$D$1001,Log!$B$2:$B$1001,A292,Log!$C$2:$C$1001,"Count",Log!$A$2:$A$1001,AA292),N(R292))+SUMIFS(Log!$D$2:$D$1001,Log!$B$2:$B$1001,A292,Log!$C$2:$C$1001,"Received",Log!$A$2:$A$1001,"&gt;"&amp;AA292)-SUMIFS(Log!$D$2:$D$1001,Log!$B$2:$B$1001,A292,Log!$C$2:$C$1001,"Used",Log!$A$2:$A$1001,"&gt;"&amp;AA292)+SUMIFS(Log!$D$2:$D$1001,Log!$B$2:$B$1001,A292,Log!$C$2:$C$1001,"Adjustment",Log!$A$2:$A$1001,"&gt;"&amp;AA292)))</f>
        <v/>
      </c>
      <c r="D292" s="32">
        <f>IF(A292="","",IF(X292&lt;&gt;"",X292,W292))</f>
        <v/>
      </c>
      <c r="E292" s="33">
        <f>IF(OR(A292="",N(O292)=0),"",C292/O292)</f>
        <v/>
      </c>
      <c r="F292" s="31">
        <f>IF(A292="","",MAX(0,N(T292)-SUMIFS(Log!$D$2:$D$1001,Log!$B$2:$B$1001,A292,Log!$C$2:$C$1001,"Received",Log!$A$2:$A$1001,"&gt;="&amp;N(U292))))</f>
        <v/>
      </c>
      <c r="G292" s="24" t="n"/>
      <c r="H292" s="24" t="n"/>
      <c r="I292" s="24" t="n"/>
      <c r="J292" s="24" t="n"/>
      <c r="K292" s="24" t="n"/>
      <c r="L292" s="34" t="n"/>
      <c r="M292" s="24" t="n"/>
      <c r="N292" s="24" t="n"/>
      <c r="O292" s="35" t="n"/>
      <c r="P292" s="25" t="n"/>
      <c r="Q292" s="36">
        <f>IF(A292="","",IF(P292&lt;&gt;"",P292,IFERROR(IF(N(INDEX(Suppliers!$E$5:$E$24,MATCH(H292,Suppliers!$B$5:$B$24,0)))&gt;0,INDEX(Suppliers!$E$5:$E$24,MATCH(H292,Suppliers!$B$5:$B$24,0)),5),5)))</f>
        <v/>
      </c>
      <c r="R292" s="35" t="n"/>
      <c r="S292" s="37" t="n"/>
      <c r="T292" s="25" t="n"/>
      <c r="U292" s="37" t="n"/>
      <c r="V292" s="37" t="n"/>
      <c r="W292" s="36">
        <f>IF(A292="","",ROUNDUP(N(O292)*(Q292/7+Settings!$C$5),0))</f>
        <v/>
      </c>
      <c r="X292" s="25" t="n"/>
      <c r="Y292" s="25" t="n"/>
      <c r="Z292" s="32">
        <f>IF(A292="","",IF(Y292&lt;&gt;"",Y292,MAX(1,ROUNDUP(N(O292)*Settings!$C$7,0))))</f>
        <v/>
      </c>
      <c r="AA292" s="38">
        <f>IF(A292="","",MAX(N(S292),_xlfn.MAXIFS(Log!$A$2:$A$1001,Log!$B$2:$B$1001,A292,Log!$C$2:$C$1001,"Count")))</f>
        <v/>
      </c>
      <c r="AB292" s="39">
        <f>IF(A292="","",Z292*N(L292))</f>
        <v/>
      </c>
      <c r="AC292" s="40">
        <f>IF(A292="","",N(O292)*52*N(L292))</f>
        <v/>
      </c>
      <c r="AD292" s="39">
        <f>IF(A292="","",C292*N(L292))</f>
        <v/>
      </c>
      <c r="AE292" s="41">
        <f>IF(A292="",0,IF(AND(OR(B292="Order now",B292="Critical"),F292=0),1,0))</f>
        <v/>
      </c>
      <c r="AF292" s="41">
        <f>IF(AE292=1,IFERROR(MATCH(H292,Suppliers!$B$5:$B$24,0),99)*1000+ROW(),"")</f>
        <v/>
      </c>
      <c r="AG292" s="41">
        <f>IF(AF292="","",COUNTIF('Stock list'!$AF$2:$AF$301,"&lt;"&amp;AF292)+1)</f>
        <v/>
      </c>
      <c r="AH292" s="41">
        <f>IF(A292="",0,IF(OR(AA292=0,AND(B292="OK",OR(C292&lt;=D292+N(O292)*Settings!$C$6,Settings!$C$10-AA292&gt;Settings!$C$8*7))),1,0))</f>
        <v/>
      </c>
      <c r="AI292" s="41">
        <f>IF(AH292=0,"",IF(AA292=0,"Never counted",IF(C292&lt;=D292+N(O292)*Settings!$C$6,"Near the reorder point","Not counted for "&amp;INT((Settings!$C$10-AA292)/7)&amp;" weeks")))</f>
        <v/>
      </c>
      <c r="AJ292" s="41">
        <f>IF(AH292=1,IFERROR(MATCH(M292,Settings!$G$19:$G$38,0),99)*1000+ROW(),"")</f>
        <v/>
      </c>
      <c r="AK292" s="41">
        <f>IF(AJ292="","",COUNTIF('Stock list'!$AJ$2:$AJ$301,"&lt;"&amp;AJ292)+1)</f>
        <v/>
      </c>
      <c r="AL292" s="41">
        <f>IF(OR(A292="",N(AC292)=0),"",AC292+ROW()/1000000)</f>
        <v/>
      </c>
    </row>
    <row r="293">
      <c r="A293" s="24" t="n"/>
      <c r="B293" s="30">
        <f>IF(A293="","",IF(AA293=0,"No count",IF(AND(N(O293)&gt;0,C293/O293*7&lt;Q293),"Critical",IF(F293&gt;0,"On order",IF(AND(D293&gt;0,C293&lt;=D293),"Order now","OK")))))</f>
        <v/>
      </c>
      <c r="C293" s="31">
        <f>IF(A293="","",MAX(0,IF(_xlfn.MAXIFS(Log!$A$2:$A$1001,Log!$B$2:$B$1001,A293,Log!$C$2:$C$1001,"Count")&gt;N(S293),_xlfn.MAXIFS(Log!$D$2:$D$1001,Log!$B$2:$B$1001,A293,Log!$C$2:$C$1001,"Count",Log!$A$2:$A$1001,AA293),N(R293))+SUMIFS(Log!$D$2:$D$1001,Log!$B$2:$B$1001,A293,Log!$C$2:$C$1001,"Received",Log!$A$2:$A$1001,"&gt;"&amp;AA293)-SUMIFS(Log!$D$2:$D$1001,Log!$B$2:$B$1001,A293,Log!$C$2:$C$1001,"Used",Log!$A$2:$A$1001,"&gt;"&amp;AA293)+SUMIFS(Log!$D$2:$D$1001,Log!$B$2:$B$1001,A293,Log!$C$2:$C$1001,"Adjustment",Log!$A$2:$A$1001,"&gt;"&amp;AA293)))</f>
        <v/>
      </c>
      <c r="D293" s="32">
        <f>IF(A293="","",IF(X293&lt;&gt;"",X293,W293))</f>
        <v/>
      </c>
      <c r="E293" s="33">
        <f>IF(OR(A293="",N(O293)=0),"",C293/O293)</f>
        <v/>
      </c>
      <c r="F293" s="31">
        <f>IF(A293="","",MAX(0,N(T293)-SUMIFS(Log!$D$2:$D$1001,Log!$B$2:$B$1001,A293,Log!$C$2:$C$1001,"Received",Log!$A$2:$A$1001,"&gt;="&amp;N(U293))))</f>
        <v/>
      </c>
      <c r="G293" s="24" t="n"/>
      <c r="H293" s="24" t="n"/>
      <c r="I293" s="24" t="n"/>
      <c r="J293" s="24" t="n"/>
      <c r="K293" s="24" t="n"/>
      <c r="L293" s="34" t="n"/>
      <c r="M293" s="24" t="n"/>
      <c r="N293" s="24" t="n"/>
      <c r="O293" s="35" t="n"/>
      <c r="P293" s="25" t="n"/>
      <c r="Q293" s="36">
        <f>IF(A293="","",IF(P293&lt;&gt;"",P293,IFERROR(IF(N(INDEX(Suppliers!$E$5:$E$24,MATCH(H293,Suppliers!$B$5:$B$24,0)))&gt;0,INDEX(Suppliers!$E$5:$E$24,MATCH(H293,Suppliers!$B$5:$B$24,0)),5),5)))</f>
        <v/>
      </c>
      <c r="R293" s="35" t="n"/>
      <c r="S293" s="37" t="n"/>
      <c r="T293" s="25" t="n"/>
      <c r="U293" s="37" t="n"/>
      <c r="V293" s="37" t="n"/>
      <c r="W293" s="36">
        <f>IF(A293="","",ROUNDUP(N(O293)*(Q293/7+Settings!$C$5),0))</f>
        <v/>
      </c>
      <c r="X293" s="25" t="n"/>
      <c r="Y293" s="25" t="n"/>
      <c r="Z293" s="32">
        <f>IF(A293="","",IF(Y293&lt;&gt;"",Y293,MAX(1,ROUNDUP(N(O293)*Settings!$C$7,0))))</f>
        <v/>
      </c>
      <c r="AA293" s="38">
        <f>IF(A293="","",MAX(N(S293),_xlfn.MAXIFS(Log!$A$2:$A$1001,Log!$B$2:$B$1001,A293,Log!$C$2:$C$1001,"Count")))</f>
        <v/>
      </c>
      <c r="AB293" s="39">
        <f>IF(A293="","",Z293*N(L293))</f>
        <v/>
      </c>
      <c r="AC293" s="40">
        <f>IF(A293="","",N(O293)*52*N(L293))</f>
        <v/>
      </c>
      <c r="AD293" s="39">
        <f>IF(A293="","",C293*N(L293))</f>
        <v/>
      </c>
      <c r="AE293" s="41">
        <f>IF(A293="",0,IF(AND(OR(B293="Order now",B293="Critical"),F293=0),1,0))</f>
        <v/>
      </c>
      <c r="AF293" s="41">
        <f>IF(AE293=1,IFERROR(MATCH(H293,Suppliers!$B$5:$B$24,0),99)*1000+ROW(),"")</f>
        <v/>
      </c>
      <c r="AG293" s="41">
        <f>IF(AF293="","",COUNTIF('Stock list'!$AF$2:$AF$301,"&lt;"&amp;AF293)+1)</f>
        <v/>
      </c>
      <c r="AH293" s="41">
        <f>IF(A293="",0,IF(OR(AA293=0,AND(B293="OK",OR(C293&lt;=D293+N(O293)*Settings!$C$6,Settings!$C$10-AA293&gt;Settings!$C$8*7))),1,0))</f>
        <v/>
      </c>
      <c r="AI293" s="41">
        <f>IF(AH293=0,"",IF(AA293=0,"Never counted",IF(C293&lt;=D293+N(O293)*Settings!$C$6,"Near the reorder point","Not counted for "&amp;INT((Settings!$C$10-AA293)/7)&amp;" weeks")))</f>
        <v/>
      </c>
      <c r="AJ293" s="41">
        <f>IF(AH293=1,IFERROR(MATCH(M293,Settings!$G$19:$G$38,0),99)*1000+ROW(),"")</f>
        <v/>
      </c>
      <c r="AK293" s="41">
        <f>IF(AJ293="","",COUNTIF('Stock list'!$AJ$2:$AJ$301,"&lt;"&amp;AJ293)+1)</f>
        <v/>
      </c>
      <c r="AL293" s="41">
        <f>IF(OR(A293="",N(AC293)=0),"",AC293+ROW()/1000000)</f>
        <v/>
      </c>
    </row>
    <row r="294">
      <c r="A294" s="24" t="n"/>
      <c r="B294" s="30">
        <f>IF(A294="","",IF(AA294=0,"No count",IF(AND(N(O294)&gt;0,C294/O294*7&lt;Q294),"Critical",IF(F294&gt;0,"On order",IF(AND(D294&gt;0,C294&lt;=D294),"Order now","OK")))))</f>
        <v/>
      </c>
      <c r="C294" s="31">
        <f>IF(A294="","",MAX(0,IF(_xlfn.MAXIFS(Log!$A$2:$A$1001,Log!$B$2:$B$1001,A294,Log!$C$2:$C$1001,"Count")&gt;N(S294),_xlfn.MAXIFS(Log!$D$2:$D$1001,Log!$B$2:$B$1001,A294,Log!$C$2:$C$1001,"Count",Log!$A$2:$A$1001,AA294),N(R294))+SUMIFS(Log!$D$2:$D$1001,Log!$B$2:$B$1001,A294,Log!$C$2:$C$1001,"Received",Log!$A$2:$A$1001,"&gt;"&amp;AA294)-SUMIFS(Log!$D$2:$D$1001,Log!$B$2:$B$1001,A294,Log!$C$2:$C$1001,"Used",Log!$A$2:$A$1001,"&gt;"&amp;AA294)+SUMIFS(Log!$D$2:$D$1001,Log!$B$2:$B$1001,A294,Log!$C$2:$C$1001,"Adjustment",Log!$A$2:$A$1001,"&gt;"&amp;AA294)))</f>
        <v/>
      </c>
      <c r="D294" s="32">
        <f>IF(A294="","",IF(X294&lt;&gt;"",X294,W294))</f>
        <v/>
      </c>
      <c r="E294" s="33">
        <f>IF(OR(A294="",N(O294)=0),"",C294/O294)</f>
        <v/>
      </c>
      <c r="F294" s="31">
        <f>IF(A294="","",MAX(0,N(T294)-SUMIFS(Log!$D$2:$D$1001,Log!$B$2:$B$1001,A294,Log!$C$2:$C$1001,"Received",Log!$A$2:$A$1001,"&gt;="&amp;N(U294))))</f>
        <v/>
      </c>
      <c r="G294" s="24" t="n"/>
      <c r="H294" s="24" t="n"/>
      <c r="I294" s="24" t="n"/>
      <c r="J294" s="24" t="n"/>
      <c r="K294" s="24" t="n"/>
      <c r="L294" s="34" t="n"/>
      <c r="M294" s="24" t="n"/>
      <c r="N294" s="24" t="n"/>
      <c r="O294" s="35" t="n"/>
      <c r="P294" s="25" t="n"/>
      <c r="Q294" s="36">
        <f>IF(A294="","",IF(P294&lt;&gt;"",P294,IFERROR(IF(N(INDEX(Suppliers!$E$5:$E$24,MATCH(H294,Suppliers!$B$5:$B$24,0)))&gt;0,INDEX(Suppliers!$E$5:$E$24,MATCH(H294,Suppliers!$B$5:$B$24,0)),5),5)))</f>
        <v/>
      </c>
      <c r="R294" s="35" t="n"/>
      <c r="S294" s="37" t="n"/>
      <c r="T294" s="25" t="n"/>
      <c r="U294" s="37" t="n"/>
      <c r="V294" s="37" t="n"/>
      <c r="W294" s="36">
        <f>IF(A294="","",ROUNDUP(N(O294)*(Q294/7+Settings!$C$5),0))</f>
        <v/>
      </c>
      <c r="X294" s="25" t="n"/>
      <c r="Y294" s="25" t="n"/>
      <c r="Z294" s="32">
        <f>IF(A294="","",IF(Y294&lt;&gt;"",Y294,MAX(1,ROUNDUP(N(O294)*Settings!$C$7,0))))</f>
        <v/>
      </c>
      <c r="AA294" s="38">
        <f>IF(A294="","",MAX(N(S294),_xlfn.MAXIFS(Log!$A$2:$A$1001,Log!$B$2:$B$1001,A294,Log!$C$2:$C$1001,"Count")))</f>
        <v/>
      </c>
      <c r="AB294" s="39">
        <f>IF(A294="","",Z294*N(L294))</f>
        <v/>
      </c>
      <c r="AC294" s="40">
        <f>IF(A294="","",N(O294)*52*N(L294))</f>
        <v/>
      </c>
      <c r="AD294" s="39">
        <f>IF(A294="","",C294*N(L294))</f>
        <v/>
      </c>
      <c r="AE294" s="41">
        <f>IF(A294="",0,IF(AND(OR(B294="Order now",B294="Critical"),F294=0),1,0))</f>
        <v/>
      </c>
      <c r="AF294" s="41">
        <f>IF(AE294=1,IFERROR(MATCH(H294,Suppliers!$B$5:$B$24,0),99)*1000+ROW(),"")</f>
        <v/>
      </c>
      <c r="AG294" s="41">
        <f>IF(AF294="","",COUNTIF('Stock list'!$AF$2:$AF$301,"&lt;"&amp;AF294)+1)</f>
        <v/>
      </c>
      <c r="AH294" s="41">
        <f>IF(A294="",0,IF(OR(AA294=0,AND(B294="OK",OR(C294&lt;=D294+N(O294)*Settings!$C$6,Settings!$C$10-AA294&gt;Settings!$C$8*7))),1,0))</f>
        <v/>
      </c>
      <c r="AI294" s="41">
        <f>IF(AH294=0,"",IF(AA294=0,"Never counted",IF(C294&lt;=D294+N(O294)*Settings!$C$6,"Near the reorder point","Not counted for "&amp;INT((Settings!$C$10-AA294)/7)&amp;" weeks")))</f>
        <v/>
      </c>
      <c r="AJ294" s="41">
        <f>IF(AH294=1,IFERROR(MATCH(M294,Settings!$G$19:$G$38,0),99)*1000+ROW(),"")</f>
        <v/>
      </c>
      <c r="AK294" s="41">
        <f>IF(AJ294="","",COUNTIF('Stock list'!$AJ$2:$AJ$301,"&lt;"&amp;AJ294)+1)</f>
        <v/>
      </c>
      <c r="AL294" s="41">
        <f>IF(OR(A294="",N(AC294)=0),"",AC294+ROW()/1000000)</f>
        <v/>
      </c>
    </row>
    <row r="295">
      <c r="A295" s="24" t="n"/>
      <c r="B295" s="30">
        <f>IF(A295="","",IF(AA295=0,"No count",IF(AND(N(O295)&gt;0,C295/O295*7&lt;Q295),"Critical",IF(F295&gt;0,"On order",IF(AND(D295&gt;0,C295&lt;=D295),"Order now","OK")))))</f>
        <v/>
      </c>
      <c r="C295" s="31">
        <f>IF(A295="","",MAX(0,IF(_xlfn.MAXIFS(Log!$A$2:$A$1001,Log!$B$2:$B$1001,A295,Log!$C$2:$C$1001,"Count")&gt;N(S295),_xlfn.MAXIFS(Log!$D$2:$D$1001,Log!$B$2:$B$1001,A295,Log!$C$2:$C$1001,"Count",Log!$A$2:$A$1001,AA295),N(R295))+SUMIFS(Log!$D$2:$D$1001,Log!$B$2:$B$1001,A295,Log!$C$2:$C$1001,"Received",Log!$A$2:$A$1001,"&gt;"&amp;AA295)-SUMIFS(Log!$D$2:$D$1001,Log!$B$2:$B$1001,A295,Log!$C$2:$C$1001,"Used",Log!$A$2:$A$1001,"&gt;"&amp;AA295)+SUMIFS(Log!$D$2:$D$1001,Log!$B$2:$B$1001,A295,Log!$C$2:$C$1001,"Adjustment",Log!$A$2:$A$1001,"&gt;"&amp;AA295)))</f>
        <v/>
      </c>
      <c r="D295" s="32">
        <f>IF(A295="","",IF(X295&lt;&gt;"",X295,W295))</f>
        <v/>
      </c>
      <c r="E295" s="33">
        <f>IF(OR(A295="",N(O295)=0),"",C295/O295)</f>
        <v/>
      </c>
      <c r="F295" s="31">
        <f>IF(A295="","",MAX(0,N(T295)-SUMIFS(Log!$D$2:$D$1001,Log!$B$2:$B$1001,A295,Log!$C$2:$C$1001,"Received",Log!$A$2:$A$1001,"&gt;="&amp;N(U295))))</f>
        <v/>
      </c>
      <c r="G295" s="24" t="n"/>
      <c r="H295" s="24" t="n"/>
      <c r="I295" s="24" t="n"/>
      <c r="J295" s="24" t="n"/>
      <c r="K295" s="24" t="n"/>
      <c r="L295" s="34" t="n"/>
      <c r="M295" s="24" t="n"/>
      <c r="N295" s="24" t="n"/>
      <c r="O295" s="35" t="n"/>
      <c r="P295" s="25" t="n"/>
      <c r="Q295" s="36">
        <f>IF(A295="","",IF(P295&lt;&gt;"",P295,IFERROR(IF(N(INDEX(Suppliers!$E$5:$E$24,MATCH(H295,Suppliers!$B$5:$B$24,0)))&gt;0,INDEX(Suppliers!$E$5:$E$24,MATCH(H295,Suppliers!$B$5:$B$24,0)),5),5)))</f>
        <v/>
      </c>
      <c r="R295" s="35" t="n"/>
      <c r="S295" s="37" t="n"/>
      <c r="T295" s="25" t="n"/>
      <c r="U295" s="37" t="n"/>
      <c r="V295" s="37" t="n"/>
      <c r="W295" s="36">
        <f>IF(A295="","",ROUNDUP(N(O295)*(Q295/7+Settings!$C$5),0))</f>
        <v/>
      </c>
      <c r="X295" s="25" t="n"/>
      <c r="Y295" s="25" t="n"/>
      <c r="Z295" s="32">
        <f>IF(A295="","",IF(Y295&lt;&gt;"",Y295,MAX(1,ROUNDUP(N(O295)*Settings!$C$7,0))))</f>
        <v/>
      </c>
      <c r="AA295" s="38">
        <f>IF(A295="","",MAX(N(S295),_xlfn.MAXIFS(Log!$A$2:$A$1001,Log!$B$2:$B$1001,A295,Log!$C$2:$C$1001,"Count")))</f>
        <v/>
      </c>
      <c r="AB295" s="39">
        <f>IF(A295="","",Z295*N(L295))</f>
        <v/>
      </c>
      <c r="AC295" s="40">
        <f>IF(A295="","",N(O295)*52*N(L295))</f>
        <v/>
      </c>
      <c r="AD295" s="39">
        <f>IF(A295="","",C295*N(L295))</f>
        <v/>
      </c>
      <c r="AE295" s="41">
        <f>IF(A295="",0,IF(AND(OR(B295="Order now",B295="Critical"),F295=0),1,0))</f>
        <v/>
      </c>
      <c r="AF295" s="41">
        <f>IF(AE295=1,IFERROR(MATCH(H295,Suppliers!$B$5:$B$24,0),99)*1000+ROW(),"")</f>
        <v/>
      </c>
      <c r="AG295" s="41">
        <f>IF(AF295="","",COUNTIF('Stock list'!$AF$2:$AF$301,"&lt;"&amp;AF295)+1)</f>
        <v/>
      </c>
      <c r="AH295" s="41">
        <f>IF(A295="",0,IF(OR(AA295=0,AND(B295="OK",OR(C295&lt;=D295+N(O295)*Settings!$C$6,Settings!$C$10-AA295&gt;Settings!$C$8*7))),1,0))</f>
        <v/>
      </c>
      <c r="AI295" s="41">
        <f>IF(AH295=0,"",IF(AA295=0,"Never counted",IF(C295&lt;=D295+N(O295)*Settings!$C$6,"Near the reorder point","Not counted for "&amp;INT((Settings!$C$10-AA295)/7)&amp;" weeks")))</f>
        <v/>
      </c>
      <c r="AJ295" s="41">
        <f>IF(AH295=1,IFERROR(MATCH(M295,Settings!$G$19:$G$38,0),99)*1000+ROW(),"")</f>
        <v/>
      </c>
      <c r="AK295" s="41">
        <f>IF(AJ295="","",COUNTIF('Stock list'!$AJ$2:$AJ$301,"&lt;"&amp;AJ295)+1)</f>
        <v/>
      </c>
      <c r="AL295" s="41">
        <f>IF(OR(A295="",N(AC295)=0),"",AC295+ROW()/1000000)</f>
        <v/>
      </c>
    </row>
    <row r="296">
      <c r="A296" s="24" t="n"/>
      <c r="B296" s="30">
        <f>IF(A296="","",IF(AA296=0,"No count",IF(AND(N(O296)&gt;0,C296/O296*7&lt;Q296),"Critical",IF(F296&gt;0,"On order",IF(AND(D296&gt;0,C296&lt;=D296),"Order now","OK")))))</f>
        <v/>
      </c>
      <c r="C296" s="31">
        <f>IF(A296="","",MAX(0,IF(_xlfn.MAXIFS(Log!$A$2:$A$1001,Log!$B$2:$B$1001,A296,Log!$C$2:$C$1001,"Count")&gt;N(S296),_xlfn.MAXIFS(Log!$D$2:$D$1001,Log!$B$2:$B$1001,A296,Log!$C$2:$C$1001,"Count",Log!$A$2:$A$1001,AA296),N(R296))+SUMIFS(Log!$D$2:$D$1001,Log!$B$2:$B$1001,A296,Log!$C$2:$C$1001,"Received",Log!$A$2:$A$1001,"&gt;"&amp;AA296)-SUMIFS(Log!$D$2:$D$1001,Log!$B$2:$B$1001,A296,Log!$C$2:$C$1001,"Used",Log!$A$2:$A$1001,"&gt;"&amp;AA296)+SUMIFS(Log!$D$2:$D$1001,Log!$B$2:$B$1001,A296,Log!$C$2:$C$1001,"Adjustment",Log!$A$2:$A$1001,"&gt;"&amp;AA296)))</f>
        <v/>
      </c>
      <c r="D296" s="32">
        <f>IF(A296="","",IF(X296&lt;&gt;"",X296,W296))</f>
        <v/>
      </c>
      <c r="E296" s="33">
        <f>IF(OR(A296="",N(O296)=0),"",C296/O296)</f>
        <v/>
      </c>
      <c r="F296" s="31">
        <f>IF(A296="","",MAX(0,N(T296)-SUMIFS(Log!$D$2:$D$1001,Log!$B$2:$B$1001,A296,Log!$C$2:$C$1001,"Received",Log!$A$2:$A$1001,"&gt;="&amp;N(U296))))</f>
        <v/>
      </c>
      <c r="G296" s="24" t="n"/>
      <c r="H296" s="24" t="n"/>
      <c r="I296" s="24" t="n"/>
      <c r="J296" s="24" t="n"/>
      <c r="K296" s="24" t="n"/>
      <c r="L296" s="34" t="n"/>
      <c r="M296" s="24" t="n"/>
      <c r="N296" s="24" t="n"/>
      <c r="O296" s="35" t="n"/>
      <c r="P296" s="25" t="n"/>
      <c r="Q296" s="36">
        <f>IF(A296="","",IF(P296&lt;&gt;"",P296,IFERROR(IF(N(INDEX(Suppliers!$E$5:$E$24,MATCH(H296,Suppliers!$B$5:$B$24,0)))&gt;0,INDEX(Suppliers!$E$5:$E$24,MATCH(H296,Suppliers!$B$5:$B$24,0)),5),5)))</f>
        <v/>
      </c>
      <c r="R296" s="35" t="n"/>
      <c r="S296" s="37" t="n"/>
      <c r="T296" s="25" t="n"/>
      <c r="U296" s="37" t="n"/>
      <c r="V296" s="37" t="n"/>
      <c r="W296" s="36">
        <f>IF(A296="","",ROUNDUP(N(O296)*(Q296/7+Settings!$C$5),0))</f>
        <v/>
      </c>
      <c r="X296" s="25" t="n"/>
      <c r="Y296" s="25" t="n"/>
      <c r="Z296" s="32">
        <f>IF(A296="","",IF(Y296&lt;&gt;"",Y296,MAX(1,ROUNDUP(N(O296)*Settings!$C$7,0))))</f>
        <v/>
      </c>
      <c r="AA296" s="38">
        <f>IF(A296="","",MAX(N(S296),_xlfn.MAXIFS(Log!$A$2:$A$1001,Log!$B$2:$B$1001,A296,Log!$C$2:$C$1001,"Count")))</f>
        <v/>
      </c>
      <c r="AB296" s="39">
        <f>IF(A296="","",Z296*N(L296))</f>
        <v/>
      </c>
      <c r="AC296" s="40">
        <f>IF(A296="","",N(O296)*52*N(L296))</f>
        <v/>
      </c>
      <c r="AD296" s="39">
        <f>IF(A296="","",C296*N(L296))</f>
        <v/>
      </c>
      <c r="AE296" s="41">
        <f>IF(A296="",0,IF(AND(OR(B296="Order now",B296="Critical"),F296=0),1,0))</f>
        <v/>
      </c>
      <c r="AF296" s="41">
        <f>IF(AE296=1,IFERROR(MATCH(H296,Suppliers!$B$5:$B$24,0),99)*1000+ROW(),"")</f>
        <v/>
      </c>
      <c r="AG296" s="41">
        <f>IF(AF296="","",COUNTIF('Stock list'!$AF$2:$AF$301,"&lt;"&amp;AF296)+1)</f>
        <v/>
      </c>
      <c r="AH296" s="41">
        <f>IF(A296="",0,IF(OR(AA296=0,AND(B296="OK",OR(C296&lt;=D296+N(O296)*Settings!$C$6,Settings!$C$10-AA296&gt;Settings!$C$8*7))),1,0))</f>
        <v/>
      </c>
      <c r="AI296" s="41">
        <f>IF(AH296=0,"",IF(AA296=0,"Never counted",IF(C296&lt;=D296+N(O296)*Settings!$C$6,"Near the reorder point","Not counted for "&amp;INT((Settings!$C$10-AA296)/7)&amp;" weeks")))</f>
        <v/>
      </c>
      <c r="AJ296" s="41">
        <f>IF(AH296=1,IFERROR(MATCH(M296,Settings!$G$19:$G$38,0),99)*1000+ROW(),"")</f>
        <v/>
      </c>
      <c r="AK296" s="41">
        <f>IF(AJ296="","",COUNTIF('Stock list'!$AJ$2:$AJ$301,"&lt;"&amp;AJ296)+1)</f>
        <v/>
      </c>
      <c r="AL296" s="41">
        <f>IF(OR(A296="",N(AC296)=0),"",AC296+ROW()/1000000)</f>
        <v/>
      </c>
    </row>
    <row r="297">
      <c r="A297" s="24" t="n"/>
      <c r="B297" s="30">
        <f>IF(A297="","",IF(AA297=0,"No count",IF(AND(N(O297)&gt;0,C297/O297*7&lt;Q297),"Critical",IF(F297&gt;0,"On order",IF(AND(D297&gt;0,C297&lt;=D297),"Order now","OK")))))</f>
        <v/>
      </c>
      <c r="C297" s="31">
        <f>IF(A297="","",MAX(0,IF(_xlfn.MAXIFS(Log!$A$2:$A$1001,Log!$B$2:$B$1001,A297,Log!$C$2:$C$1001,"Count")&gt;N(S297),_xlfn.MAXIFS(Log!$D$2:$D$1001,Log!$B$2:$B$1001,A297,Log!$C$2:$C$1001,"Count",Log!$A$2:$A$1001,AA297),N(R297))+SUMIFS(Log!$D$2:$D$1001,Log!$B$2:$B$1001,A297,Log!$C$2:$C$1001,"Received",Log!$A$2:$A$1001,"&gt;"&amp;AA297)-SUMIFS(Log!$D$2:$D$1001,Log!$B$2:$B$1001,A297,Log!$C$2:$C$1001,"Used",Log!$A$2:$A$1001,"&gt;"&amp;AA297)+SUMIFS(Log!$D$2:$D$1001,Log!$B$2:$B$1001,A297,Log!$C$2:$C$1001,"Adjustment",Log!$A$2:$A$1001,"&gt;"&amp;AA297)))</f>
        <v/>
      </c>
      <c r="D297" s="32">
        <f>IF(A297="","",IF(X297&lt;&gt;"",X297,W297))</f>
        <v/>
      </c>
      <c r="E297" s="33">
        <f>IF(OR(A297="",N(O297)=0),"",C297/O297)</f>
        <v/>
      </c>
      <c r="F297" s="31">
        <f>IF(A297="","",MAX(0,N(T297)-SUMIFS(Log!$D$2:$D$1001,Log!$B$2:$B$1001,A297,Log!$C$2:$C$1001,"Received",Log!$A$2:$A$1001,"&gt;="&amp;N(U297))))</f>
        <v/>
      </c>
      <c r="G297" s="24" t="n"/>
      <c r="H297" s="24" t="n"/>
      <c r="I297" s="24" t="n"/>
      <c r="J297" s="24" t="n"/>
      <c r="K297" s="24" t="n"/>
      <c r="L297" s="34" t="n"/>
      <c r="M297" s="24" t="n"/>
      <c r="N297" s="24" t="n"/>
      <c r="O297" s="35" t="n"/>
      <c r="P297" s="25" t="n"/>
      <c r="Q297" s="36">
        <f>IF(A297="","",IF(P297&lt;&gt;"",P297,IFERROR(IF(N(INDEX(Suppliers!$E$5:$E$24,MATCH(H297,Suppliers!$B$5:$B$24,0)))&gt;0,INDEX(Suppliers!$E$5:$E$24,MATCH(H297,Suppliers!$B$5:$B$24,0)),5),5)))</f>
        <v/>
      </c>
      <c r="R297" s="35" t="n"/>
      <c r="S297" s="37" t="n"/>
      <c r="T297" s="25" t="n"/>
      <c r="U297" s="37" t="n"/>
      <c r="V297" s="37" t="n"/>
      <c r="W297" s="36">
        <f>IF(A297="","",ROUNDUP(N(O297)*(Q297/7+Settings!$C$5),0))</f>
        <v/>
      </c>
      <c r="X297" s="25" t="n"/>
      <c r="Y297" s="25" t="n"/>
      <c r="Z297" s="32">
        <f>IF(A297="","",IF(Y297&lt;&gt;"",Y297,MAX(1,ROUNDUP(N(O297)*Settings!$C$7,0))))</f>
        <v/>
      </c>
      <c r="AA297" s="38">
        <f>IF(A297="","",MAX(N(S297),_xlfn.MAXIFS(Log!$A$2:$A$1001,Log!$B$2:$B$1001,A297,Log!$C$2:$C$1001,"Count")))</f>
        <v/>
      </c>
      <c r="AB297" s="39">
        <f>IF(A297="","",Z297*N(L297))</f>
        <v/>
      </c>
      <c r="AC297" s="40">
        <f>IF(A297="","",N(O297)*52*N(L297))</f>
        <v/>
      </c>
      <c r="AD297" s="39">
        <f>IF(A297="","",C297*N(L297))</f>
        <v/>
      </c>
      <c r="AE297" s="41">
        <f>IF(A297="",0,IF(AND(OR(B297="Order now",B297="Critical"),F297=0),1,0))</f>
        <v/>
      </c>
      <c r="AF297" s="41">
        <f>IF(AE297=1,IFERROR(MATCH(H297,Suppliers!$B$5:$B$24,0),99)*1000+ROW(),"")</f>
        <v/>
      </c>
      <c r="AG297" s="41">
        <f>IF(AF297="","",COUNTIF('Stock list'!$AF$2:$AF$301,"&lt;"&amp;AF297)+1)</f>
        <v/>
      </c>
      <c r="AH297" s="41">
        <f>IF(A297="",0,IF(OR(AA297=0,AND(B297="OK",OR(C297&lt;=D297+N(O297)*Settings!$C$6,Settings!$C$10-AA297&gt;Settings!$C$8*7))),1,0))</f>
        <v/>
      </c>
      <c r="AI297" s="41">
        <f>IF(AH297=0,"",IF(AA297=0,"Never counted",IF(C297&lt;=D297+N(O297)*Settings!$C$6,"Near the reorder point","Not counted for "&amp;INT((Settings!$C$10-AA297)/7)&amp;" weeks")))</f>
        <v/>
      </c>
      <c r="AJ297" s="41">
        <f>IF(AH297=1,IFERROR(MATCH(M297,Settings!$G$19:$G$38,0),99)*1000+ROW(),"")</f>
        <v/>
      </c>
      <c r="AK297" s="41">
        <f>IF(AJ297="","",COUNTIF('Stock list'!$AJ$2:$AJ$301,"&lt;"&amp;AJ297)+1)</f>
        <v/>
      </c>
      <c r="AL297" s="41">
        <f>IF(OR(A297="",N(AC297)=0),"",AC297+ROW()/1000000)</f>
        <v/>
      </c>
    </row>
    <row r="298">
      <c r="A298" s="24" t="n"/>
      <c r="B298" s="30">
        <f>IF(A298="","",IF(AA298=0,"No count",IF(AND(N(O298)&gt;0,C298/O298*7&lt;Q298),"Critical",IF(F298&gt;0,"On order",IF(AND(D298&gt;0,C298&lt;=D298),"Order now","OK")))))</f>
        <v/>
      </c>
      <c r="C298" s="31">
        <f>IF(A298="","",MAX(0,IF(_xlfn.MAXIFS(Log!$A$2:$A$1001,Log!$B$2:$B$1001,A298,Log!$C$2:$C$1001,"Count")&gt;N(S298),_xlfn.MAXIFS(Log!$D$2:$D$1001,Log!$B$2:$B$1001,A298,Log!$C$2:$C$1001,"Count",Log!$A$2:$A$1001,AA298),N(R298))+SUMIFS(Log!$D$2:$D$1001,Log!$B$2:$B$1001,A298,Log!$C$2:$C$1001,"Received",Log!$A$2:$A$1001,"&gt;"&amp;AA298)-SUMIFS(Log!$D$2:$D$1001,Log!$B$2:$B$1001,A298,Log!$C$2:$C$1001,"Used",Log!$A$2:$A$1001,"&gt;"&amp;AA298)+SUMIFS(Log!$D$2:$D$1001,Log!$B$2:$B$1001,A298,Log!$C$2:$C$1001,"Adjustment",Log!$A$2:$A$1001,"&gt;"&amp;AA298)))</f>
        <v/>
      </c>
      <c r="D298" s="32">
        <f>IF(A298="","",IF(X298&lt;&gt;"",X298,W298))</f>
        <v/>
      </c>
      <c r="E298" s="33">
        <f>IF(OR(A298="",N(O298)=0),"",C298/O298)</f>
        <v/>
      </c>
      <c r="F298" s="31">
        <f>IF(A298="","",MAX(0,N(T298)-SUMIFS(Log!$D$2:$D$1001,Log!$B$2:$B$1001,A298,Log!$C$2:$C$1001,"Received",Log!$A$2:$A$1001,"&gt;="&amp;N(U298))))</f>
        <v/>
      </c>
      <c r="G298" s="24" t="n"/>
      <c r="H298" s="24" t="n"/>
      <c r="I298" s="24" t="n"/>
      <c r="J298" s="24" t="n"/>
      <c r="K298" s="24" t="n"/>
      <c r="L298" s="34" t="n"/>
      <c r="M298" s="24" t="n"/>
      <c r="N298" s="24" t="n"/>
      <c r="O298" s="35" t="n"/>
      <c r="P298" s="25" t="n"/>
      <c r="Q298" s="36">
        <f>IF(A298="","",IF(P298&lt;&gt;"",P298,IFERROR(IF(N(INDEX(Suppliers!$E$5:$E$24,MATCH(H298,Suppliers!$B$5:$B$24,0)))&gt;0,INDEX(Suppliers!$E$5:$E$24,MATCH(H298,Suppliers!$B$5:$B$24,0)),5),5)))</f>
        <v/>
      </c>
      <c r="R298" s="35" t="n"/>
      <c r="S298" s="37" t="n"/>
      <c r="T298" s="25" t="n"/>
      <c r="U298" s="37" t="n"/>
      <c r="V298" s="37" t="n"/>
      <c r="W298" s="36">
        <f>IF(A298="","",ROUNDUP(N(O298)*(Q298/7+Settings!$C$5),0))</f>
        <v/>
      </c>
      <c r="X298" s="25" t="n"/>
      <c r="Y298" s="25" t="n"/>
      <c r="Z298" s="32">
        <f>IF(A298="","",IF(Y298&lt;&gt;"",Y298,MAX(1,ROUNDUP(N(O298)*Settings!$C$7,0))))</f>
        <v/>
      </c>
      <c r="AA298" s="38">
        <f>IF(A298="","",MAX(N(S298),_xlfn.MAXIFS(Log!$A$2:$A$1001,Log!$B$2:$B$1001,A298,Log!$C$2:$C$1001,"Count")))</f>
        <v/>
      </c>
      <c r="AB298" s="39">
        <f>IF(A298="","",Z298*N(L298))</f>
        <v/>
      </c>
      <c r="AC298" s="40">
        <f>IF(A298="","",N(O298)*52*N(L298))</f>
        <v/>
      </c>
      <c r="AD298" s="39">
        <f>IF(A298="","",C298*N(L298))</f>
        <v/>
      </c>
      <c r="AE298" s="41">
        <f>IF(A298="",0,IF(AND(OR(B298="Order now",B298="Critical"),F298=0),1,0))</f>
        <v/>
      </c>
      <c r="AF298" s="41">
        <f>IF(AE298=1,IFERROR(MATCH(H298,Suppliers!$B$5:$B$24,0),99)*1000+ROW(),"")</f>
        <v/>
      </c>
      <c r="AG298" s="41">
        <f>IF(AF298="","",COUNTIF('Stock list'!$AF$2:$AF$301,"&lt;"&amp;AF298)+1)</f>
        <v/>
      </c>
      <c r="AH298" s="41">
        <f>IF(A298="",0,IF(OR(AA298=0,AND(B298="OK",OR(C298&lt;=D298+N(O298)*Settings!$C$6,Settings!$C$10-AA298&gt;Settings!$C$8*7))),1,0))</f>
        <v/>
      </c>
      <c r="AI298" s="41">
        <f>IF(AH298=0,"",IF(AA298=0,"Never counted",IF(C298&lt;=D298+N(O298)*Settings!$C$6,"Near the reorder point","Not counted for "&amp;INT((Settings!$C$10-AA298)/7)&amp;" weeks")))</f>
        <v/>
      </c>
      <c r="AJ298" s="41">
        <f>IF(AH298=1,IFERROR(MATCH(M298,Settings!$G$19:$G$38,0),99)*1000+ROW(),"")</f>
        <v/>
      </c>
      <c r="AK298" s="41">
        <f>IF(AJ298="","",COUNTIF('Stock list'!$AJ$2:$AJ$301,"&lt;"&amp;AJ298)+1)</f>
        <v/>
      </c>
      <c r="AL298" s="41">
        <f>IF(OR(A298="",N(AC298)=0),"",AC298+ROW()/1000000)</f>
        <v/>
      </c>
    </row>
    <row r="299">
      <c r="A299" s="24" t="n"/>
      <c r="B299" s="30">
        <f>IF(A299="","",IF(AA299=0,"No count",IF(AND(N(O299)&gt;0,C299/O299*7&lt;Q299),"Critical",IF(F299&gt;0,"On order",IF(AND(D299&gt;0,C299&lt;=D299),"Order now","OK")))))</f>
        <v/>
      </c>
      <c r="C299" s="31">
        <f>IF(A299="","",MAX(0,IF(_xlfn.MAXIFS(Log!$A$2:$A$1001,Log!$B$2:$B$1001,A299,Log!$C$2:$C$1001,"Count")&gt;N(S299),_xlfn.MAXIFS(Log!$D$2:$D$1001,Log!$B$2:$B$1001,A299,Log!$C$2:$C$1001,"Count",Log!$A$2:$A$1001,AA299),N(R299))+SUMIFS(Log!$D$2:$D$1001,Log!$B$2:$B$1001,A299,Log!$C$2:$C$1001,"Received",Log!$A$2:$A$1001,"&gt;"&amp;AA299)-SUMIFS(Log!$D$2:$D$1001,Log!$B$2:$B$1001,A299,Log!$C$2:$C$1001,"Used",Log!$A$2:$A$1001,"&gt;"&amp;AA299)+SUMIFS(Log!$D$2:$D$1001,Log!$B$2:$B$1001,A299,Log!$C$2:$C$1001,"Adjustment",Log!$A$2:$A$1001,"&gt;"&amp;AA299)))</f>
        <v/>
      </c>
      <c r="D299" s="32">
        <f>IF(A299="","",IF(X299&lt;&gt;"",X299,W299))</f>
        <v/>
      </c>
      <c r="E299" s="33">
        <f>IF(OR(A299="",N(O299)=0),"",C299/O299)</f>
        <v/>
      </c>
      <c r="F299" s="31">
        <f>IF(A299="","",MAX(0,N(T299)-SUMIFS(Log!$D$2:$D$1001,Log!$B$2:$B$1001,A299,Log!$C$2:$C$1001,"Received",Log!$A$2:$A$1001,"&gt;="&amp;N(U299))))</f>
        <v/>
      </c>
      <c r="G299" s="24" t="n"/>
      <c r="H299" s="24" t="n"/>
      <c r="I299" s="24" t="n"/>
      <c r="J299" s="24" t="n"/>
      <c r="K299" s="24" t="n"/>
      <c r="L299" s="34" t="n"/>
      <c r="M299" s="24" t="n"/>
      <c r="N299" s="24" t="n"/>
      <c r="O299" s="35" t="n"/>
      <c r="P299" s="25" t="n"/>
      <c r="Q299" s="36">
        <f>IF(A299="","",IF(P299&lt;&gt;"",P299,IFERROR(IF(N(INDEX(Suppliers!$E$5:$E$24,MATCH(H299,Suppliers!$B$5:$B$24,0)))&gt;0,INDEX(Suppliers!$E$5:$E$24,MATCH(H299,Suppliers!$B$5:$B$24,0)),5),5)))</f>
        <v/>
      </c>
      <c r="R299" s="35" t="n"/>
      <c r="S299" s="37" t="n"/>
      <c r="T299" s="25" t="n"/>
      <c r="U299" s="37" t="n"/>
      <c r="V299" s="37" t="n"/>
      <c r="W299" s="36">
        <f>IF(A299="","",ROUNDUP(N(O299)*(Q299/7+Settings!$C$5),0))</f>
        <v/>
      </c>
      <c r="X299" s="25" t="n"/>
      <c r="Y299" s="25" t="n"/>
      <c r="Z299" s="32">
        <f>IF(A299="","",IF(Y299&lt;&gt;"",Y299,MAX(1,ROUNDUP(N(O299)*Settings!$C$7,0))))</f>
        <v/>
      </c>
      <c r="AA299" s="38">
        <f>IF(A299="","",MAX(N(S299),_xlfn.MAXIFS(Log!$A$2:$A$1001,Log!$B$2:$B$1001,A299,Log!$C$2:$C$1001,"Count")))</f>
        <v/>
      </c>
      <c r="AB299" s="39">
        <f>IF(A299="","",Z299*N(L299))</f>
        <v/>
      </c>
      <c r="AC299" s="40">
        <f>IF(A299="","",N(O299)*52*N(L299))</f>
        <v/>
      </c>
      <c r="AD299" s="39">
        <f>IF(A299="","",C299*N(L299))</f>
        <v/>
      </c>
      <c r="AE299" s="41">
        <f>IF(A299="",0,IF(AND(OR(B299="Order now",B299="Critical"),F299=0),1,0))</f>
        <v/>
      </c>
      <c r="AF299" s="41">
        <f>IF(AE299=1,IFERROR(MATCH(H299,Suppliers!$B$5:$B$24,0),99)*1000+ROW(),"")</f>
        <v/>
      </c>
      <c r="AG299" s="41">
        <f>IF(AF299="","",COUNTIF('Stock list'!$AF$2:$AF$301,"&lt;"&amp;AF299)+1)</f>
        <v/>
      </c>
      <c r="AH299" s="41">
        <f>IF(A299="",0,IF(OR(AA299=0,AND(B299="OK",OR(C299&lt;=D299+N(O299)*Settings!$C$6,Settings!$C$10-AA299&gt;Settings!$C$8*7))),1,0))</f>
        <v/>
      </c>
      <c r="AI299" s="41">
        <f>IF(AH299=0,"",IF(AA299=0,"Never counted",IF(C299&lt;=D299+N(O299)*Settings!$C$6,"Near the reorder point","Not counted for "&amp;INT((Settings!$C$10-AA299)/7)&amp;" weeks")))</f>
        <v/>
      </c>
      <c r="AJ299" s="41">
        <f>IF(AH299=1,IFERROR(MATCH(M299,Settings!$G$19:$G$38,0),99)*1000+ROW(),"")</f>
        <v/>
      </c>
      <c r="AK299" s="41">
        <f>IF(AJ299="","",COUNTIF('Stock list'!$AJ$2:$AJ$301,"&lt;"&amp;AJ299)+1)</f>
        <v/>
      </c>
      <c r="AL299" s="41">
        <f>IF(OR(A299="",N(AC299)=0),"",AC299+ROW()/1000000)</f>
        <v/>
      </c>
    </row>
    <row r="300">
      <c r="A300" s="24" t="n"/>
      <c r="B300" s="30">
        <f>IF(A300="","",IF(AA300=0,"No count",IF(AND(N(O300)&gt;0,C300/O300*7&lt;Q300),"Critical",IF(F300&gt;0,"On order",IF(AND(D300&gt;0,C300&lt;=D300),"Order now","OK")))))</f>
        <v/>
      </c>
      <c r="C300" s="31">
        <f>IF(A300="","",MAX(0,IF(_xlfn.MAXIFS(Log!$A$2:$A$1001,Log!$B$2:$B$1001,A300,Log!$C$2:$C$1001,"Count")&gt;N(S300),_xlfn.MAXIFS(Log!$D$2:$D$1001,Log!$B$2:$B$1001,A300,Log!$C$2:$C$1001,"Count",Log!$A$2:$A$1001,AA300),N(R300))+SUMIFS(Log!$D$2:$D$1001,Log!$B$2:$B$1001,A300,Log!$C$2:$C$1001,"Received",Log!$A$2:$A$1001,"&gt;"&amp;AA300)-SUMIFS(Log!$D$2:$D$1001,Log!$B$2:$B$1001,A300,Log!$C$2:$C$1001,"Used",Log!$A$2:$A$1001,"&gt;"&amp;AA300)+SUMIFS(Log!$D$2:$D$1001,Log!$B$2:$B$1001,A300,Log!$C$2:$C$1001,"Adjustment",Log!$A$2:$A$1001,"&gt;"&amp;AA300)))</f>
        <v/>
      </c>
      <c r="D300" s="32">
        <f>IF(A300="","",IF(X300&lt;&gt;"",X300,W300))</f>
        <v/>
      </c>
      <c r="E300" s="33">
        <f>IF(OR(A300="",N(O300)=0),"",C300/O300)</f>
        <v/>
      </c>
      <c r="F300" s="31">
        <f>IF(A300="","",MAX(0,N(T300)-SUMIFS(Log!$D$2:$D$1001,Log!$B$2:$B$1001,A300,Log!$C$2:$C$1001,"Received",Log!$A$2:$A$1001,"&gt;="&amp;N(U300))))</f>
        <v/>
      </c>
      <c r="G300" s="24" t="n"/>
      <c r="H300" s="24" t="n"/>
      <c r="I300" s="24" t="n"/>
      <c r="J300" s="24" t="n"/>
      <c r="K300" s="24" t="n"/>
      <c r="L300" s="34" t="n"/>
      <c r="M300" s="24" t="n"/>
      <c r="N300" s="24" t="n"/>
      <c r="O300" s="35" t="n"/>
      <c r="P300" s="25" t="n"/>
      <c r="Q300" s="36">
        <f>IF(A300="","",IF(P300&lt;&gt;"",P300,IFERROR(IF(N(INDEX(Suppliers!$E$5:$E$24,MATCH(H300,Suppliers!$B$5:$B$24,0)))&gt;0,INDEX(Suppliers!$E$5:$E$24,MATCH(H300,Suppliers!$B$5:$B$24,0)),5),5)))</f>
        <v/>
      </c>
      <c r="R300" s="35" t="n"/>
      <c r="S300" s="37" t="n"/>
      <c r="T300" s="25" t="n"/>
      <c r="U300" s="37" t="n"/>
      <c r="V300" s="37" t="n"/>
      <c r="W300" s="36">
        <f>IF(A300="","",ROUNDUP(N(O300)*(Q300/7+Settings!$C$5),0))</f>
        <v/>
      </c>
      <c r="X300" s="25" t="n"/>
      <c r="Y300" s="25" t="n"/>
      <c r="Z300" s="32">
        <f>IF(A300="","",IF(Y300&lt;&gt;"",Y300,MAX(1,ROUNDUP(N(O300)*Settings!$C$7,0))))</f>
        <v/>
      </c>
      <c r="AA300" s="38">
        <f>IF(A300="","",MAX(N(S300),_xlfn.MAXIFS(Log!$A$2:$A$1001,Log!$B$2:$B$1001,A300,Log!$C$2:$C$1001,"Count")))</f>
        <v/>
      </c>
      <c r="AB300" s="39">
        <f>IF(A300="","",Z300*N(L300))</f>
        <v/>
      </c>
      <c r="AC300" s="40">
        <f>IF(A300="","",N(O300)*52*N(L300))</f>
        <v/>
      </c>
      <c r="AD300" s="39">
        <f>IF(A300="","",C300*N(L300))</f>
        <v/>
      </c>
      <c r="AE300" s="41">
        <f>IF(A300="",0,IF(AND(OR(B300="Order now",B300="Critical"),F300=0),1,0))</f>
        <v/>
      </c>
      <c r="AF300" s="41">
        <f>IF(AE300=1,IFERROR(MATCH(H300,Suppliers!$B$5:$B$24,0),99)*1000+ROW(),"")</f>
        <v/>
      </c>
      <c r="AG300" s="41">
        <f>IF(AF300="","",COUNTIF('Stock list'!$AF$2:$AF$301,"&lt;"&amp;AF300)+1)</f>
        <v/>
      </c>
      <c r="AH300" s="41">
        <f>IF(A300="",0,IF(OR(AA300=0,AND(B300="OK",OR(C300&lt;=D300+N(O300)*Settings!$C$6,Settings!$C$10-AA300&gt;Settings!$C$8*7))),1,0))</f>
        <v/>
      </c>
      <c r="AI300" s="41">
        <f>IF(AH300=0,"",IF(AA300=0,"Never counted",IF(C300&lt;=D300+N(O300)*Settings!$C$6,"Near the reorder point","Not counted for "&amp;INT((Settings!$C$10-AA300)/7)&amp;" weeks")))</f>
        <v/>
      </c>
      <c r="AJ300" s="41">
        <f>IF(AH300=1,IFERROR(MATCH(M300,Settings!$G$19:$G$38,0),99)*1000+ROW(),"")</f>
        <v/>
      </c>
      <c r="AK300" s="41">
        <f>IF(AJ300="","",COUNTIF('Stock list'!$AJ$2:$AJ$301,"&lt;"&amp;AJ300)+1)</f>
        <v/>
      </c>
      <c r="AL300" s="41">
        <f>IF(OR(A300="",N(AC300)=0),"",AC300+ROW()/1000000)</f>
        <v/>
      </c>
    </row>
    <row r="301">
      <c r="A301" s="24" t="n"/>
      <c r="B301" s="30">
        <f>IF(A301="","",IF(AA301=0,"No count",IF(AND(N(O301)&gt;0,C301/O301*7&lt;Q301),"Critical",IF(F301&gt;0,"On order",IF(AND(D301&gt;0,C301&lt;=D301),"Order now","OK")))))</f>
        <v/>
      </c>
      <c r="C301" s="31">
        <f>IF(A301="","",MAX(0,IF(_xlfn.MAXIFS(Log!$A$2:$A$1001,Log!$B$2:$B$1001,A301,Log!$C$2:$C$1001,"Count")&gt;N(S301),_xlfn.MAXIFS(Log!$D$2:$D$1001,Log!$B$2:$B$1001,A301,Log!$C$2:$C$1001,"Count",Log!$A$2:$A$1001,AA301),N(R301))+SUMIFS(Log!$D$2:$D$1001,Log!$B$2:$B$1001,A301,Log!$C$2:$C$1001,"Received",Log!$A$2:$A$1001,"&gt;"&amp;AA301)-SUMIFS(Log!$D$2:$D$1001,Log!$B$2:$B$1001,A301,Log!$C$2:$C$1001,"Used",Log!$A$2:$A$1001,"&gt;"&amp;AA301)+SUMIFS(Log!$D$2:$D$1001,Log!$B$2:$B$1001,A301,Log!$C$2:$C$1001,"Adjustment",Log!$A$2:$A$1001,"&gt;"&amp;AA301)))</f>
        <v/>
      </c>
      <c r="D301" s="32">
        <f>IF(A301="","",IF(X301&lt;&gt;"",X301,W301))</f>
        <v/>
      </c>
      <c r="E301" s="33">
        <f>IF(OR(A301="",N(O301)=0),"",C301/O301)</f>
        <v/>
      </c>
      <c r="F301" s="31">
        <f>IF(A301="","",MAX(0,N(T301)-SUMIFS(Log!$D$2:$D$1001,Log!$B$2:$B$1001,A301,Log!$C$2:$C$1001,"Received",Log!$A$2:$A$1001,"&gt;="&amp;N(U301))))</f>
        <v/>
      </c>
      <c r="G301" s="24" t="n"/>
      <c r="H301" s="24" t="n"/>
      <c r="I301" s="24" t="n"/>
      <c r="J301" s="24" t="n"/>
      <c r="K301" s="24" t="n"/>
      <c r="L301" s="34" t="n"/>
      <c r="M301" s="24" t="n"/>
      <c r="N301" s="24" t="n"/>
      <c r="O301" s="35" t="n"/>
      <c r="P301" s="25" t="n"/>
      <c r="Q301" s="36">
        <f>IF(A301="","",IF(P301&lt;&gt;"",P301,IFERROR(IF(N(INDEX(Suppliers!$E$5:$E$24,MATCH(H301,Suppliers!$B$5:$B$24,0)))&gt;0,INDEX(Suppliers!$E$5:$E$24,MATCH(H301,Suppliers!$B$5:$B$24,0)),5),5)))</f>
        <v/>
      </c>
      <c r="R301" s="35" t="n"/>
      <c r="S301" s="37" t="n"/>
      <c r="T301" s="25" t="n"/>
      <c r="U301" s="37" t="n"/>
      <c r="V301" s="37" t="n"/>
      <c r="W301" s="36">
        <f>IF(A301="","",ROUNDUP(N(O301)*(Q301/7+Settings!$C$5),0))</f>
        <v/>
      </c>
      <c r="X301" s="25" t="n"/>
      <c r="Y301" s="25" t="n"/>
      <c r="Z301" s="32">
        <f>IF(A301="","",IF(Y301&lt;&gt;"",Y301,MAX(1,ROUNDUP(N(O301)*Settings!$C$7,0))))</f>
        <v/>
      </c>
      <c r="AA301" s="38">
        <f>IF(A301="","",MAX(N(S301),_xlfn.MAXIFS(Log!$A$2:$A$1001,Log!$B$2:$B$1001,A301,Log!$C$2:$C$1001,"Count")))</f>
        <v/>
      </c>
      <c r="AB301" s="39">
        <f>IF(A301="","",Z301*N(L301))</f>
        <v/>
      </c>
      <c r="AC301" s="40">
        <f>IF(A301="","",N(O301)*52*N(L301))</f>
        <v/>
      </c>
      <c r="AD301" s="39">
        <f>IF(A301="","",C301*N(L301))</f>
        <v/>
      </c>
      <c r="AE301" s="41">
        <f>IF(A301="",0,IF(AND(OR(B301="Order now",B301="Critical"),F301=0),1,0))</f>
        <v/>
      </c>
      <c r="AF301" s="41">
        <f>IF(AE301=1,IFERROR(MATCH(H301,Suppliers!$B$5:$B$24,0),99)*1000+ROW(),"")</f>
        <v/>
      </c>
      <c r="AG301" s="41">
        <f>IF(AF301="","",COUNTIF('Stock list'!$AF$2:$AF$301,"&lt;"&amp;AF301)+1)</f>
        <v/>
      </c>
      <c r="AH301" s="41">
        <f>IF(A301="",0,IF(OR(AA301=0,AND(B301="OK",OR(C301&lt;=D301+N(O301)*Settings!$C$6,Settings!$C$10-AA301&gt;Settings!$C$8*7))),1,0))</f>
        <v/>
      </c>
      <c r="AI301" s="41">
        <f>IF(AH301=0,"",IF(AA301=0,"Never counted",IF(C301&lt;=D301+N(O301)*Settings!$C$6,"Near the reorder point","Not counted for "&amp;INT((Settings!$C$10-AA301)/7)&amp;" weeks")))</f>
        <v/>
      </c>
      <c r="AJ301" s="41">
        <f>IF(AH301=1,IFERROR(MATCH(M301,Settings!$G$19:$G$38,0),99)*1000+ROW(),"")</f>
        <v/>
      </c>
      <c r="AK301" s="41">
        <f>IF(AJ301="","",COUNTIF('Stock list'!$AJ$2:$AJ$301,"&lt;"&amp;AJ301)+1)</f>
        <v/>
      </c>
      <c r="AL301" s="41">
        <f>IF(OR(A301="",N(AC301)=0),"",AC301+ROW()/1000000)</f>
        <v/>
      </c>
    </row>
  </sheetData>
  <autoFilter ref="A1:AD301"/>
  <conditionalFormatting sqref="B2:B301">
    <cfRule type="expression" priority="1" dxfId="0">
      <formula>$B2="Critical"</formula>
    </cfRule>
    <cfRule type="expression" priority="2" dxfId="1">
      <formula>$B2="Order now"</formula>
    </cfRule>
    <cfRule type="expression" priority="3" dxfId="2">
      <formula>$B2="On order"</formula>
    </cfRule>
    <cfRule type="expression" priority="4" dxfId="3">
      <formula>$B2="OK"</formula>
    </cfRule>
    <cfRule type="expression" priority="5" dxfId="4">
      <formula>$B2="No count"</formula>
    </cfRule>
  </conditionalFormatting>
  <conditionalFormatting sqref="A2:A301">
    <cfRule type="expression" priority="6" dxfId="5">
      <formula>$B2="Critical"</formula>
    </cfRule>
  </conditionalFormatting>
  <dataValidations count="6">
    <dataValidation sqref="G2:G301" showDropDown="0" showInputMessage="0" showErrorMessage="0" allowBlank="1" type="list">
      <formula1>=Settings!$B$19:$B$38</formula1>
    </dataValidation>
    <dataValidation sqref="H2:H301" showDropDown="0" showInputMessage="0" showErrorMessage="0" allowBlank="1" type="list">
      <formula1>=Suppliers!$B$5:$B$24</formula1>
    </dataValidation>
    <dataValidation sqref="K2:K301" showDropDown="0" showInputMessage="0" showErrorMessage="0" allowBlank="1" type="list">
      <formula1>=Settings!$E$19:$E$38</formula1>
    </dataValidation>
    <dataValidation sqref="M2:M301" showDropDown="0" showInputMessage="0" showErrorMessage="0" allowBlank="1" type="list">
      <formula1>=Settings!$G$19:$G$38</formula1>
    </dataValidation>
    <dataValidation sqref="N2:N301" showDropDown="0" showInputMessage="0" showErrorMessage="0" allowBlank="1" type="list">
      <formula1>=Settings!$C$19:$C$38</formula1>
    </dataValidation>
    <dataValidation sqref="O2:O301" showDropDown="0" showInputMessage="0" showErrorMessage="0" allowBlank="1" errorTitle="Use per week" error="A number of units per week, e.g. 2 or 0.5" type="decimal" operator="greaterThanOrEqual">
      <formula1>0</formula1>
    </dataValidation>
  </dataValidations>
  <pageMargins left="0.75" right="0.75" top="1" bottom="1" header="0.5" footer="0.5"/>
  <pageSetup orientation="landscape" fitToHeight="0" fitToWidth="1"/>
</worksheet>
</file>

<file path=xl/worksheets/sheet6.xml><?xml version="1.0" encoding="utf-8"?>
<worksheet xmlns="http://schemas.openxmlformats.org/spreadsheetml/2006/main">
  <sheetPr>
    <outlinePr summaryBelow="1" summaryRight="1"/>
    <pageSetUpPr fitToPage="1"/>
  </sheetPr>
  <dimension ref="A1:T65"/>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hidden="1" width="6" customWidth="1" min="1" max="1"/>
    <col width="4" customWidth="1" min="2" max="2"/>
    <col width="22" customWidth="1" min="3" max="3"/>
    <col width="34" customWidth="1" min="4" max="4"/>
    <col width="14" customWidth="1" min="5" max="5"/>
    <col width="12" customWidth="1" min="6" max="6"/>
    <col width="6" customWidth="1" min="7" max="7"/>
    <col width="10" customWidth="1" min="8" max="8"/>
    <col width="11" customWidth="1" min="9" max="9"/>
    <col width="10" customWidth="1" min="10" max="10"/>
    <col width="14" customWidth="1" min="11" max="11"/>
    <col width="60" customWidth="1" min="12" max="12"/>
    <col width="3" customWidth="1" min="13" max="13"/>
    <col width="22" customWidth="1" min="14" max="14"/>
    <col width="7" customWidth="1" min="15" max="15"/>
    <col width="11" customWidth="1" min="16" max="16"/>
    <col width="10" customWidth="1" min="17" max="17"/>
    <col hidden="1" width="13" customWidth="1" min="19" max="19"/>
    <col hidden="1" width="13" customWidth="1" min="20" max="20"/>
  </cols>
  <sheetData>
    <row r="1">
      <c r="B1" s="1" t="inlineStr">
        <is>
          <t>Order list</t>
        </is>
      </c>
    </row>
    <row r="2">
      <c r="B2" s="2">
        <f>"As of "&amp;TEXT(Settings!$C$10,"d mmm yyyy")&amp;": "&amp;SUM('Stock list'!$AE$2:$AE$301)&amp;IF(SUM('Stock list'!$AE$2:$AE$301)=1," item"," items")&amp;" to order, "&amp;Settings!$C$11&amp;TEXT(SUMPRODUCT('Stock list'!$AE$2:$AE$301,'Stock list'!$AB$2:$AB$301),"#,##0")&amp;", from "&amp;SUMPRODUCT(--(COUNTIFS('Stock list'!$H$2:$H$301,Suppliers!$B$5:$B$24,'Stock list'!$AE$2:$AE$301,1)&gt;0))&amp;IF(SUMPRODUCT(--(COUNTIFS('Stock list'!$H$2:$H$301,Suppliers!$B$5:$B$24,'Stock list'!$AE$2:$AE$301,1)&gt;0))=1," supplier"," suppliers")&amp;". Grouped by supplier; paste the lines into your purchase request."</f>
        <v/>
      </c>
    </row>
    <row r="4">
      <c r="B4" s="5" t="inlineStr">
        <is>
          <t>#</t>
        </is>
      </c>
      <c r="C4" s="5" t="inlineStr">
        <is>
          <t>Supplier</t>
        </is>
      </c>
      <c r="D4" s="5" t="inlineStr">
        <is>
          <t>Item</t>
        </is>
      </c>
      <c r="E4" s="5" t="inlineStr">
        <is>
          <t>Catalogue no.</t>
        </is>
      </c>
      <c r="F4" s="5" t="inlineStr">
        <is>
          <t>Pack size</t>
        </is>
      </c>
      <c r="G4" s="5" t="inlineStr">
        <is>
          <t>Qty</t>
        </is>
      </c>
      <c r="H4" s="5" t="inlineStr">
        <is>
          <t>Unit cost</t>
        </is>
      </c>
      <c r="I4" s="5" t="inlineStr">
        <is>
          <t>Line cost</t>
        </is>
      </c>
      <c r="J4" s="5" t="inlineStr">
        <is>
          <t>Status</t>
        </is>
      </c>
      <c r="K4" s="5" t="inlineStr">
        <is>
          <t>Owner</t>
        </is>
      </c>
      <c r="L4" s="5" t="inlineStr">
        <is>
          <t>Paste-ready line</t>
        </is>
      </c>
      <c r="N4" s="5" t="inlineStr">
        <is>
          <t>Supplier</t>
        </is>
      </c>
      <c r="O4" s="5" t="inlineStr">
        <is>
          <t>Items</t>
        </is>
      </c>
      <c r="P4" s="5" t="inlineStr">
        <is>
          <t>Value</t>
        </is>
      </c>
      <c r="Q4" s="5" t="inlineStr">
        <is>
          <t>Min. order</t>
        </is>
      </c>
    </row>
    <row r="5">
      <c r="A5" s="42">
        <f>IFERROR(MATCH(1,'Stock list'!$AG$2:$AG$301,0),"")</f>
        <v/>
      </c>
      <c r="B5" s="43">
        <f>IF($A5="","",1)</f>
        <v/>
      </c>
      <c r="C5" s="43">
        <f>IF($A5="","",INDEX('Stock list'!$H$2:$H$301,$A5))</f>
        <v/>
      </c>
      <c r="D5" s="43">
        <f>IF($A5="","",INDEX('Stock list'!$A$2:$A$301,$A5))</f>
        <v/>
      </c>
      <c r="E5" s="43">
        <f>IF($A5="","",INDEX('Stock list'!$I$2:$I$301,$A5)&amp;"")</f>
        <v/>
      </c>
      <c r="F5" s="43">
        <f>IF($A5="","",INDEX('Stock list'!$J$2:$J$301,$A5)&amp;"")</f>
        <v/>
      </c>
      <c r="G5" s="32">
        <f>IF($A5="","",INDEX('Stock list'!$Z$2:$Z$301,$A5))</f>
        <v/>
      </c>
      <c r="H5" s="39">
        <f>IF($A5="","",INDEX('Stock list'!$L$2:$L$301,$A5))</f>
        <v/>
      </c>
      <c r="I5" s="39">
        <f>IF($A5="","",INDEX('Stock list'!$AB$2:$AB$301,$A5))</f>
        <v/>
      </c>
      <c r="J5" s="30">
        <f>IF($A5="","",INDEX('Stock list'!$B$2:$B$301,$A5))</f>
        <v/>
      </c>
      <c r="K5" s="43">
        <f>IF($A5="","",INDEX('Stock list'!$N$2:$N$301,$A5)&amp;"")</f>
        <v/>
      </c>
      <c r="L5" s="43">
        <f>IF($A5="","",INDEX('Stock list'!$A$2:$A$301,$A5)&amp;" (cat. "&amp;INDEX('Stock list'!$I$2:$I$301,$A5)&amp;"), "&amp;INDEX('Stock list'!$Z$2:$Z$301,$A5)&amp;" × "&amp;INDEX('Stock list'!$J$2:$J$301,$A5)&amp;", "&amp;Settings!$C$11&amp;TEXT(INDEX('Stock list'!$AB$2:$AB$301,$A5),"#,##0.00"))</f>
        <v/>
      </c>
      <c r="N5" s="43">
        <f>IF(T5="","",INDEX(Suppliers!$B$5:$B$24,T5))</f>
        <v/>
      </c>
      <c r="O5" s="32">
        <f>IF(N5="","",COUNTIFS('Stock list'!$H$2:$H$301,N5,'Stock list'!$AE$2:$AE$301,1))</f>
        <v/>
      </c>
      <c r="P5" s="39">
        <f>IF(N5="","",SUMIFS('Stock list'!$AB$2:$AB$301,'Stock list'!$H$2:$H$301,N5,'Stock list'!$AE$2:$AE$301,1))</f>
        <v/>
      </c>
      <c r="Q5" s="44">
        <f>IF(N5="","",IF(N(INDEX(Suppliers!$F$5:$F$24,T5))&gt;0,IF(P5&lt;INDEX(Suppliers!$F$5:$F$24,T5),"Below "&amp;Settings!$C$11&amp;INDEX(Suppliers!$F$5:$F$24,T5),""),""))</f>
        <v/>
      </c>
      <c r="S5">
        <f>IF(OR(Suppliers!$B$5="",COUNTIFS('Stock list'!$H$2:$H$301,Suppliers!$B$5,'Stock list'!$AE$2:$AE$301,1)=0),"",1)</f>
        <v/>
      </c>
      <c r="T5">
        <f>IFERROR(SMALL($S$5:$S$24,1),"")</f>
        <v/>
      </c>
    </row>
    <row r="6">
      <c r="A6" s="42">
        <f>IFERROR(MATCH(2,'Stock list'!$AG$2:$AG$301,0),"")</f>
        <v/>
      </c>
      <c r="B6" s="43">
        <f>IF($A6="","",2)</f>
        <v/>
      </c>
      <c r="C6" s="43">
        <f>IF($A6="","",INDEX('Stock list'!$H$2:$H$301,$A6))</f>
        <v/>
      </c>
      <c r="D6" s="43">
        <f>IF($A6="","",INDEX('Stock list'!$A$2:$A$301,$A6))</f>
        <v/>
      </c>
      <c r="E6" s="43">
        <f>IF($A6="","",INDEX('Stock list'!$I$2:$I$301,$A6)&amp;"")</f>
        <v/>
      </c>
      <c r="F6" s="43">
        <f>IF($A6="","",INDEX('Stock list'!$J$2:$J$301,$A6)&amp;"")</f>
        <v/>
      </c>
      <c r="G6" s="32">
        <f>IF($A6="","",INDEX('Stock list'!$Z$2:$Z$301,$A6))</f>
        <v/>
      </c>
      <c r="H6" s="39">
        <f>IF($A6="","",INDEX('Stock list'!$L$2:$L$301,$A6))</f>
        <v/>
      </c>
      <c r="I6" s="39">
        <f>IF($A6="","",INDEX('Stock list'!$AB$2:$AB$301,$A6))</f>
        <v/>
      </c>
      <c r="J6" s="30">
        <f>IF($A6="","",INDEX('Stock list'!$B$2:$B$301,$A6))</f>
        <v/>
      </c>
      <c r="K6" s="43">
        <f>IF($A6="","",INDEX('Stock list'!$N$2:$N$301,$A6)&amp;"")</f>
        <v/>
      </c>
      <c r="L6" s="43">
        <f>IF($A6="","",INDEX('Stock list'!$A$2:$A$301,$A6)&amp;" (cat. "&amp;INDEX('Stock list'!$I$2:$I$301,$A6)&amp;"), "&amp;INDEX('Stock list'!$Z$2:$Z$301,$A6)&amp;" × "&amp;INDEX('Stock list'!$J$2:$J$301,$A6)&amp;", "&amp;Settings!$C$11&amp;TEXT(INDEX('Stock list'!$AB$2:$AB$301,$A6),"#,##0.00"))</f>
        <v/>
      </c>
      <c r="N6" s="43">
        <f>IF(T6="","",INDEX(Suppliers!$B$5:$B$24,T6))</f>
        <v/>
      </c>
      <c r="O6" s="32">
        <f>IF(N6="","",COUNTIFS('Stock list'!$H$2:$H$301,N6,'Stock list'!$AE$2:$AE$301,1))</f>
        <v/>
      </c>
      <c r="P6" s="39">
        <f>IF(N6="","",SUMIFS('Stock list'!$AB$2:$AB$301,'Stock list'!$H$2:$H$301,N6,'Stock list'!$AE$2:$AE$301,1))</f>
        <v/>
      </c>
      <c r="Q6" s="44">
        <f>IF(N6="","",IF(N(INDEX(Suppliers!$F$5:$F$24,T6))&gt;0,IF(P6&lt;INDEX(Suppliers!$F$5:$F$24,T6),"Below "&amp;Settings!$C$11&amp;INDEX(Suppliers!$F$5:$F$24,T6),""),""))</f>
        <v/>
      </c>
      <c r="S6">
        <f>IF(OR(Suppliers!$B$6="",COUNTIFS('Stock list'!$H$2:$H$301,Suppliers!$B$6,'Stock list'!$AE$2:$AE$301,1)=0),"",2)</f>
        <v/>
      </c>
      <c r="T6">
        <f>IFERROR(SMALL($S$5:$S$24,2),"")</f>
        <v/>
      </c>
    </row>
    <row r="7">
      <c r="A7" s="42">
        <f>IFERROR(MATCH(3,'Stock list'!$AG$2:$AG$301,0),"")</f>
        <v/>
      </c>
      <c r="B7" s="43">
        <f>IF($A7="","",3)</f>
        <v/>
      </c>
      <c r="C7" s="43">
        <f>IF($A7="","",INDEX('Stock list'!$H$2:$H$301,$A7))</f>
        <v/>
      </c>
      <c r="D7" s="43">
        <f>IF($A7="","",INDEX('Stock list'!$A$2:$A$301,$A7))</f>
        <v/>
      </c>
      <c r="E7" s="43">
        <f>IF($A7="","",INDEX('Stock list'!$I$2:$I$301,$A7)&amp;"")</f>
        <v/>
      </c>
      <c r="F7" s="43">
        <f>IF($A7="","",INDEX('Stock list'!$J$2:$J$301,$A7)&amp;"")</f>
        <v/>
      </c>
      <c r="G7" s="32">
        <f>IF($A7="","",INDEX('Stock list'!$Z$2:$Z$301,$A7))</f>
        <v/>
      </c>
      <c r="H7" s="39">
        <f>IF($A7="","",INDEX('Stock list'!$L$2:$L$301,$A7))</f>
        <v/>
      </c>
      <c r="I7" s="39">
        <f>IF($A7="","",INDEX('Stock list'!$AB$2:$AB$301,$A7))</f>
        <v/>
      </c>
      <c r="J7" s="30">
        <f>IF($A7="","",INDEX('Stock list'!$B$2:$B$301,$A7))</f>
        <v/>
      </c>
      <c r="K7" s="43">
        <f>IF($A7="","",INDEX('Stock list'!$N$2:$N$301,$A7)&amp;"")</f>
        <v/>
      </c>
      <c r="L7" s="43">
        <f>IF($A7="","",INDEX('Stock list'!$A$2:$A$301,$A7)&amp;" (cat. "&amp;INDEX('Stock list'!$I$2:$I$301,$A7)&amp;"), "&amp;INDEX('Stock list'!$Z$2:$Z$301,$A7)&amp;" × "&amp;INDEX('Stock list'!$J$2:$J$301,$A7)&amp;", "&amp;Settings!$C$11&amp;TEXT(INDEX('Stock list'!$AB$2:$AB$301,$A7),"#,##0.00"))</f>
        <v/>
      </c>
      <c r="N7" s="43">
        <f>IF(T7="","",INDEX(Suppliers!$B$5:$B$24,T7))</f>
        <v/>
      </c>
      <c r="O7" s="32">
        <f>IF(N7="","",COUNTIFS('Stock list'!$H$2:$H$301,N7,'Stock list'!$AE$2:$AE$301,1))</f>
        <v/>
      </c>
      <c r="P7" s="39">
        <f>IF(N7="","",SUMIFS('Stock list'!$AB$2:$AB$301,'Stock list'!$H$2:$H$301,N7,'Stock list'!$AE$2:$AE$301,1))</f>
        <v/>
      </c>
      <c r="Q7" s="44">
        <f>IF(N7="","",IF(N(INDEX(Suppliers!$F$5:$F$24,T7))&gt;0,IF(P7&lt;INDEX(Suppliers!$F$5:$F$24,T7),"Below "&amp;Settings!$C$11&amp;INDEX(Suppliers!$F$5:$F$24,T7),""),""))</f>
        <v/>
      </c>
      <c r="S7">
        <f>IF(OR(Suppliers!$B$7="",COUNTIFS('Stock list'!$H$2:$H$301,Suppliers!$B$7,'Stock list'!$AE$2:$AE$301,1)=0),"",3)</f>
        <v/>
      </c>
      <c r="T7">
        <f>IFERROR(SMALL($S$5:$S$24,3),"")</f>
        <v/>
      </c>
    </row>
    <row r="8">
      <c r="A8" s="42">
        <f>IFERROR(MATCH(4,'Stock list'!$AG$2:$AG$301,0),"")</f>
        <v/>
      </c>
      <c r="B8" s="43">
        <f>IF($A8="","",4)</f>
        <v/>
      </c>
      <c r="C8" s="43">
        <f>IF($A8="","",INDEX('Stock list'!$H$2:$H$301,$A8))</f>
        <v/>
      </c>
      <c r="D8" s="43">
        <f>IF($A8="","",INDEX('Stock list'!$A$2:$A$301,$A8))</f>
        <v/>
      </c>
      <c r="E8" s="43">
        <f>IF($A8="","",INDEX('Stock list'!$I$2:$I$301,$A8)&amp;"")</f>
        <v/>
      </c>
      <c r="F8" s="43">
        <f>IF($A8="","",INDEX('Stock list'!$J$2:$J$301,$A8)&amp;"")</f>
        <v/>
      </c>
      <c r="G8" s="32">
        <f>IF($A8="","",INDEX('Stock list'!$Z$2:$Z$301,$A8))</f>
        <v/>
      </c>
      <c r="H8" s="39">
        <f>IF($A8="","",INDEX('Stock list'!$L$2:$L$301,$A8))</f>
        <v/>
      </c>
      <c r="I8" s="39">
        <f>IF($A8="","",INDEX('Stock list'!$AB$2:$AB$301,$A8))</f>
        <v/>
      </c>
      <c r="J8" s="30">
        <f>IF($A8="","",INDEX('Stock list'!$B$2:$B$301,$A8))</f>
        <v/>
      </c>
      <c r="K8" s="43">
        <f>IF($A8="","",INDEX('Stock list'!$N$2:$N$301,$A8)&amp;"")</f>
        <v/>
      </c>
      <c r="L8" s="43">
        <f>IF($A8="","",INDEX('Stock list'!$A$2:$A$301,$A8)&amp;" (cat. "&amp;INDEX('Stock list'!$I$2:$I$301,$A8)&amp;"), "&amp;INDEX('Stock list'!$Z$2:$Z$301,$A8)&amp;" × "&amp;INDEX('Stock list'!$J$2:$J$301,$A8)&amp;", "&amp;Settings!$C$11&amp;TEXT(INDEX('Stock list'!$AB$2:$AB$301,$A8),"#,##0.00"))</f>
        <v/>
      </c>
      <c r="N8" s="43">
        <f>IF(T8="","",INDEX(Suppliers!$B$5:$B$24,T8))</f>
        <v/>
      </c>
      <c r="O8" s="32">
        <f>IF(N8="","",COUNTIFS('Stock list'!$H$2:$H$301,N8,'Stock list'!$AE$2:$AE$301,1))</f>
        <v/>
      </c>
      <c r="P8" s="39">
        <f>IF(N8="","",SUMIFS('Stock list'!$AB$2:$AB$301,'Stock list'!$H$2:$H$301,N8,'Stock list'!$AE$2:$AE$301,1))</f>
        <v/>
      </c>
      <c r="Q8" s="44">
        <f>IF(N8="","",IF(N(INDEX(Suppliers!$F$5:$F$24,T8))&gt;0,IF(P8&lt;INDEX(Suppliers!$F$5:$F$24,T8),"Below "&amp;Settings!$C$11&amp;INDEX(Suppliers!$F$5:$F$24,T8),""),""))</f>
        <v/>
      </c>
      <c r="S8">
        <f>IF(OR(Suppliers!$B$8="",COUNTIFS('Stock list'!$H$2:$H$301,Suppliers!$B$8,'Stock list'!$AE$2:$AE$301,1)=0),"",4)</f>
        <v/>
      </c>
      <c r="T8">
        <f>IFERROR(SMALL($S$5:$S$24,4),"")</f>
        <v/>
      </c>
    </row>
    <row r="9">
      <c r="A9" s="42">
        <f>IFERROR(MATCH(5,'Stock list'!$AG$2:$AG$301,0),"")</f>
        <v/>
      </c>
      <c r="B9" s="43">
        <f>IF($A9="","",5)</f>
        <v/>
      </c>
      <c r="C9" s="43">
        <f>IF($A9="","",INDEX('Stock list'!$H$2:$H$301,$A9))</f>
        <v/>
      </c>
      <c r="D9" s="43">
        <f>IF($A9="","",INDEX('Stock list'!$A$2:$A$301,$A9))</f>
        <v/>
      </c>
      <c r="E9" s="43">
        <f>IF($A9="","",INDEX('Stock list'!$I$2:$I$301,$A9)&amp;"")</f>
        <v/>
      </c>
      <c r="F9" s="43">
        <f>IF($A9="","",INDEX('Stock list'!$J$2:$J$301,$A9)&amp;"")</f>
        <v/>
      </c>
      <c r="G9" s="32">
        <f>IF($A9="","",INDEX('Stock list'!$Z$2:$Z$301,$A9))</f>
        <v/>
      </c>
      <c r="H9" s="39">
        <f>IF($A9="","",INDEX('Stock list'!$L$2:$L$301,$A9))</f>
        <v/>
      </c>
      <c r="I9" s="39">
        <f>IF($A9="","",INDEX('Stock list'!$AB$2:$AB$301,$A9))</f>
        <v/>
      </c>
      <c r="J9" s="30">
        <f>IF($A9="","",INDEX('Stock list'!$B$2:$B$301,$A9))</f>
        <v/>
      </c>
      <c r="K9" s="43">
        <f>IF($A9="","",INDEX('Stock list'!$N$2:$N$301,$A9)&amp;"")</f>
        <v/>
      </c>
      <c r="L9" s="43">
        <f>IF($A9="","",INDEX('Stock list'!$A$2:$A$301,$A9)&amp;" (cat. "&amp;INDEX('Stock list'!$I$2:$I$301,$A9)&amp;"), "&amp;INDEX('Stock list'!$Z$2:$Z$301,$A9)&amp;" × "&amp;INDEX('Stock list'!$J$2:$J$301,$A9)&amp;", "&amp;Settings!$C$11&amp;TEXT(INDEX('Stock list'!$AB$2:$AB$301,$A9),"#,##0.00"))</f>
        <v/>
      </c>
      <c r="N9" s="43">
        <f>IF(T9="","",INDEX(Suppliers!$B$5:$B$24,T9))</f>
        <v/>
      </c>
      <c r="O9" s="32">
        <f>IF(N9="","",COUNTIFS('Stock list'!$H$2:$H$301,N9,'Stock list'!$AE$2:$AE$301,1))</f>
        <v/>
      </c>
      <c r="P9" s="39">
        <f>IF(N9="","",SUMIFS('Stock list'!$AB$2:$AB$301,'Stock list'!$H$2:$H$301,N9,'Stock list'!$AE$2:$AE$301,1))</f>
        <v/>
      </c>
      <c r="Q9" s="44">
        <f>IF(N9="","",IF(N(INDEX(Suppliers!$F$5:$F$24,T9))&gt;0,IF(P9&lt;INDEX(Suppliers!$F$5:$F$24,T9),"Below "&amp;Settings!$C$11&amp;INDEX(Suppliers!$F$5:$F$24,T9),""),""))</f>
        <v/>
      </c>
      <c r="S9">
        <f>IF(OR(Suppliers!$B$9="",COUNTIFS('Stock list'!$H$2:$H$301,Suppliers!$B$9,'Stock list'!$AE$2:$AE$301,1)=0),"",5)</f>
        <v/>
      </c>
      <c r="T9">
        <f>IFERROR(SMALL($S$5:$S$24,5),"")</f>
        <v/>
      </c>
    </row>
    <row r="10">
      <c r="A10" s="42">
        <f>IFERROR(MATCH(6,'Stock list'!$AG$2:$AG$301,0),"")</f>
        <v/>
      </c>
      <c r="B10" s="43">
        <f>IF($A10="","",6)</f>
        <v/>
      </c>
      <c r="C10" s="43">
        <f>IF($A10="","",INDEX('Stock list'!$H$2:$H$301,$A10))</f>
        <v/>
      </c>
      <c r="D10" s="43">
        <f>IF($A10="","",INDEX('Stock list'!$A$2:$A$301,$A10))</f>
        <v/>
      </c>
      <c r="E10" s="43">
        <f>IF($A10="","",INDEX('Stock list'!$I$2:$I$301,$A10)&amp;"")</f>
        <v/>
      </c>
      <c r="F10" s="43">
        <f>IF($A10="","",INDEX('Stock list'!$J$2:$J$301,$A10)&amp;"")</f>
        <v/>
      </c>
      <c r="G10" s="32">
        <f>IF($A10="","",INDEX('Stock list'!$Z$2:$Z$301,$A10))</f>
        <v/>
      </c>
      <c r="H10" s="39">
        <f>IF($A10="","",INDEX('Stock list'!$L$2:$L$301,$A10))</f>
        <v/>
      </c>
      <c r="I10" s="39">
        <f>IF($A10="","",INDEX('Stock list'!$AB$2:$AB$301,$A10))</f>
        <v/>
      </c>
      <c r="J10" s="30">
        <f>IF($A10="","",INDEX('Stock list'!$B$2:$B$301,$A10))</f>
        <v/>
      </c>
      <c r="K10" s="43">
        <f>IF($A10="","",INDEX('Stock list'!$N$2:$N$301,$A10)&amp;"")</f>
        <v/>
      </c>
      <c r="L10" s="43">
        <f>IF($A10="","",INDEX('Stock list'!$A$2:$A$301,$A10)&amp;" (cat. "&amp;INDEX('Stock list'!$I$2:$I$301,$A10)&amp;"), "&amp;INDEX('Stock list'!$Z$2:$Z$301,$A10)&amp;" × "&amp;INDEX('Stock list'!$J$2:$J$301,$A10)&amp;", "&amp;Settings!$C$11&amp;TEXT(INDEX('Stock list'!$AB$2:$AB$301,$A10),"#,##0.00"))</f>
        <v/>
      </c>
      <c r="N10" s="43">
        <f>IF(T10="","",INDEX(Suppliers!$B$5:$B$24,T10))</f>
        <v/>
      </c>
      <c r="O10" s="32">
        <f>IF(N10="","",COUNTIFS('Stock list'!$H$2:$H$301,N10,'Stock list'!$AE$2:$AE$301,1))</f>
        <v/>
      </c>
      <c r="P10" s="39">
        <f>IF(N10="","",SUMIFS('Stock list'!$AB$2:$AB$301,'Stock list'!$H$2:$H$301,N10,'Stock list'!$AE$2:$AE$301,1))</f>
        <v/>
      </c>
      <c r="Q10" s="44">
        <f>IF(N10="","",IF(N(INDEX(Suppliers!$F$5:$F$24,T10))&gt;0,IF(P10&lt;INDEX(Suppliers!$F$5:$F$24,T10),"Below "&amp;Settings!$C$11&amp;INDEX(Suppliers!$F$5:$F$24,T10),""),""))</f>
        <v/>
      </c>
      <c r="S10">
        <f>IF(OR(Suppliers!$B$10="",COUNTIFS('Stock list'!$H$2:$H$301,Suppliers!$B$10,'Stock list'!$AE$2:$AE$301,1)=0),"",6)</f>
        <v/>
      </c>
      <c r="T10">
        <f>IFERROR(SMALL($S$5:$S$24,6),"")</f>
        <v/>
      </c>
    </row>
    <row r="11">
      <c r="A11" s="42">
        <f>IFERROR(MATCH(7,'Stock list'!$AG$2:$AG$301,0),"")</f>
        <v/>
      </c>
      <c r="B11" s="43">
        <f>IF($A11="","",7)</f>
        <v/>
      </c>
      <c r="C11" s="43">
        <f>IF($A11="","",INDEX('Stock list'!$H$2:$H$301,$A11))</f>
        <v/>
      </c>
      <c r="D11" s="43">
        <f>IF($A11="","",INDEX('Stock list'!$A$2:$A$301,$A11))</f>
        <v/>
      </c>
      <c r="E11" s="43">
        <f>IF($A11="","",INDEX('Stock list'!$I$2:$I$301,$A11)&amp;"")</f>
        <v/>
      </c>
      <c r="F11" s="43">
        <f>IF($A11="","",INDEX('Stock list'!$J$2:$J$301,$A11)&amp;"")</f>
        <v/>
      </c>
      <c r="G11" s="32">
        <f>IF($A11="","",INDEX('Stock list'!$Z$2:$Z$301,$A11))</f>
        <v/>
      </c>
      <c r="H11" s="39">
        <f>IF($A11="","",INDEX('Stock list'!$L$2:$L$301,$A11))</f>
        <v/>
      </c>
      <c r="I11" s="39">
        <f>IF($A11="","",INDEX('Stock list'!$AB$2:$AB$301,$A11))</f>
        <v/>
      </c>
      <c r="J11" s="30">
        <f>IF($A11="","",INDEX('Stock list'!$B$2:$B$301,$A11))</f>
        <v/>
      </c>
      <c r="K11" s="43">
        <f>IF($A11="","",INDEX('Stock list'!$N$2:$N$301,$A11)&amp;"")</f>
        <v/>
      </c>
      <c r="L11" s="43">
        <f>IF($A11="","",INDEX('Stock list'!$A$2:$A$301,$A11)&amp;" (cat. "&amp;INDEX('Stock list'!$I$2:$I$301,$A11)&amp;"), "&amp;INDEX('Stock list'!$Z$2:$Z$301,$A11)&amp;" × "&amp;INDEX('Stock list'!$J$2:$J$301,$A11)&amp;", "&amp;Settings!$C$11&amp;TEXT(INDEX('Stock list'!$AB$2:$AB$301,$A11),"#,##0.00"))</f>
        <v/>
      </c>
      <c r="N11" s="43">
        <f>IF(T11="","",INDEX(Suppliers!$B$5:$B$24,T11))</f>
        <v/>
      </c>
      <c r="O11" s="32">
        <f>IF(N11="","",COUNTIFS('Stock list'!$H$2:$H$301,N11,'Stock list'!$AE$2:$AE$301,1))</f>
        <v/>
      </c>
      <c r="P11" s="39">
        <f>IF(N11="","",SUMIFS('Stock list'!$AB$2:$AB$301,'Stock list'!$H$2:$H$301,N11,'Stock list'!$AE$2:$AE$301,1))</f>
        <v/>
      </c>
      <c r="Q11" s="44">
        <f>IF(N11="","",IF(N(INDEX(Suppliers!$F$5:$F$24,T11))&gt;0,IF(P11&lt;INDEX(Suppliers!$F$5:$F$24,T11),"Below "&amp;Settings!$C$11&amp;INDEX(Suppliers!$F$5:$F$24,T11),""),""))</f>
        <v/>
      </c>
      <c r="S11">
        <f>IF(OR(Suppliers!$B$11="",COUNTIFS('Stock list'!$H$2:$H$301,Suppliers!$B$11,'Stock list'!$AE$2:$AE$301,1)=0),"",7)</f>
        <v/>
      </c>
      <c r="T11">
        <f>IFERROR(SMALL($S$5:$S$24,7),"")</f>
        <v/>
      </c>
    </row>
    <row r="12">
      <c r="A12" s="42">
        <f>IFERROR(MATCH(8,'Stock list'!$AG$2:$AG$301,0),"")</f>
        <v/>
      </c>
      <c r="B12" s="43">
        <f>IF($A12="","",8)</f>
        <v/>
      </c>
      <c r="C12" s="43">
        <f>IF($A12="","",INDEX('Stock list'!$H$2:$H$301,$A12))</f>
        <v/>
      </c>
      <c r="D12" s="43">
        <f>IF($A12="","",INDEX('Stock list'!$A$2:$A$301,$A12))</f>
        <v/>
      </c>
      <c r="E12" s="43">
        <f>IF($A12="","",INDEX('Stock list'!$I$2:$I$301,$A12)&amp;"")</f>
        <v/>
      </c>
      <c r="F12" s="43">
        <f>IF($A12="","",INDEX('Stock list'!$J$2:$J$301,$A12)&amp;"")</f>
        <v/>
      </c>
      <c r="G12" s="32">
        <f>IF($A12="","",INDEX('Stock list'!$Z$2:$Z$301,$A12))</f>
        <v/>
      </c>
      <c r="H12" s="39">
        <f>IF($A12="","",INDEX('Stock list'!$L$2:$L$301,$A12))</f>
        <v/>
      </c>
      <c r="I12" s="39">
        <f>IF($A12="","",INDEX('Stock list'!$AB$2:$AB$301,$A12))</f>
        <v/>
      </c>
      <c r="J12" s="30">
        <f>IF($A12="","",INDEX('Stock list'!$B$2:$B$301,$A12))</f>
        <v/>
      </c>
      <c r="K12" s="43">
        <f>IF($A12="","",INDEX('Stock list'!$N$2:$N$301,$A12)&amp;"")</f>
        <v/>
      </c>
      <c r="L12" s="43">
        <f>IF($A12="","",INDEX('Stock list'!$A$2:$A$301,$A12)&amp;" (cat. "&amp;INDEX('Stock list'!$I$2:$I$301,$A12)&amp;"), "&amp;INDEX('Stock list'!$Z$2:$Z$301,$A12)&amp;" × "&amp;INDEX('Stock list'!$J$2:$J$301,$A12)&amp;", "&amp;Settings!$C$11&amp;TEXT(INDEX('Stock list'!$AB$2:$AB$301,$A12),"#,##0.00"))</f>
        <v/>
      </c>
      <c r="N12" s="43">
        <f>IF(T12="","",INDEX(Suppliers!$B$5:$B$24,T12))</f>
        <v/>
      </c>
      <c r="O12" s="32">
        <f>IF(N12="","",COUNTIFS('Stock list'!$H$2:$H$301,N12,'Stock list'!$AE$2:$AE$301,1))</f>
        <v/>
      </c>
      <c r="P12" s="39">
        <f>IF(N12="","",SUMIFS('Stock list'!$AB$2:$AB$301,'Stock list'!$H$2:$H$301,N12,'Stock list'!$AE$2:$AE$301,1))</f>
        <v/>
      </c>
      <c r="Q12" s="44">
        <f>IF(N12="","",IF(N(INDEX(Suppliers!$F$5:$F$24,T12))&gt;0,IF(P12&lt;INDEX(Suppliers!$F$5:$F$24,T12),"Below "&amp;Settings!$C$11&amp;INDEX(Suppliers!$F$5:$F$24,T12),""),""))</f>
        <v/>
      </c>
      <c r="S12">
        <f>IF(OR(Suppliers!$B$12="",COUNTIFS('Stock list'!$H$2:$H$301,Suppliers!$B$12,'Stock list'!$AE$2:$AE$301,1)=0),"",8)</f>
        <v/>
      </c>
      <c r="T12">
        <f>IFERROR(SMALL($S$5:$S$24,8),"")</f>
        <v/>
      </c>
    </row>
    <row r="13">
      <c r="A13" s="42">
        <f>IFERROR(MATCH(9,'Stock list'!$AG$2:$AG$301,0),"")</f>
        <v/>
      </c>
      <c r="B13" s="43">
        <f>IF($A13="","",9)</f>
        <v/>
      </c>
      <c r="C13" s="43">
        <f>IF($A13="","",INDEX('Stock list'!$H$2:$H$301,$A13))</f>
        <v/>
      </c>
      <c r="D13" s="43">
        <f>IF($A13="","",INDEX('Stock list'!$A$2:$A$301,$A13))</f>
        <v/>
      </c>
      <c r="E13" s="43">
        <f>IF($A13="","",INDEX('Stock list'!$I$2:$I$301,$A13)&amp;"")</f>
        <v/>
      </c>
      <c r="F13" s="43">
        <f>IF($A13="","",INDEX('Stock list'!$J$2:$J$301,$A13)&amp;"")</f>
        <v/>
      </c>
      <c r="G13" s="32">
        <f>IF($A13="","",INDEX('Stock list'!$Z$2:$Z$301,$A13))</f>
        <v/>
      </c>
      <c r="H13" s="39">
        <f>IF($A13="","",INDEX('Stock list'!$L$2:$L$301,$A13))</f>
        <v/>
      </c>
      <c r="I13" s="39">
        <f>IF($A13="","",INDEX('Stock list'!$AB$2:$AB$301,$A13))</f>
        <v/>
      </c>
      <c r="J13" s="30">
        <f>IF($A13="","",INDEX('Stock list'!$B$2:$B$301,$A13))</f>
        <v/>
      </c>
      <c r="K13" s="43">
        <f>IF($A13="","",INDEX('Stock list'!$N$2:$N$301,$A13)&amp;"")</f>
        <v/>
      </c>
      <c r="L13" s="43">
        <f>IF($A13="","",INDEX('Stock list'!$A$2:$A$301,$A13)&amp;" (cat. "&amp;INDEX('Stock list'!$I$2:$I$301,$A13)&amp;"), "&amp;INDEX('Stock list'!$Z$2:$Z$301,$A13)&amp;" × "&amp;INDEX('Stock list'!$J$2:$J$301,$A13)&amp;", "&amp;Settings!$C$11&amp;TEXT(INDEX('Stock list'!$AB$2:$AB$301,$A13),"#,##0.00"))</f>
        <v/>
      </c>
      <c r="N13" s="43">
        <f>IF(T13="","",INDEX(Suppliers!$B$5:$B$24,T13))</f>
        <v/>
      </c>
      <c r="O13" s="32">
        <f>IF(N13="","",COUNTIFS('Stock list'!$H$2:$H$301,N13,'Stock list'!$AE$2:$AE$301,1))</f>
        <v/>
      </c>
      <c r="P13" s="39">
        <f>IF(N13="","",SUMIFS('Stock list'!$AB$2:$AB$301,'Stock list'!$H$2:$H$301,N13,'Stock list'!$AE$2:$AE$301,1))</f>
        <v/>
      </c>
      <c r="Q13" s="44">
        <f>IF(N13="","",IF(N(INDEX(Suppliers!$F$5:$F$24,T13))&gt;0,IF(P13&lt;INDEX(Suppliers!$F$5:$F$24,T13),"Below "&amp;Settings!$C$11&amp;INDEX(Suppliers!$F$5:$F$24,T13),""),""))</f>
        <v/>
      </c>
      <c r="S13">
        <f>IF(OR(Suppliers!$B$13="",COUNTIFS('Stock list'!$H$2:$H$301,Suppliers!$B$13,'Stock list'!$AE$2:$AE$301,1)=0),"",9)</f>
        <v/>
      </c>
      <c r="T13">
        <f>IFERROR(SMALL($S$5:$S$24,9),"")</f>
        <v/>
      </c>
    </row>
    <row r="14">
      <c r="A14" s="42">
        <f>IFERROR(MATCH(10,'Stock list'!$AG$2:$AG$301,0),"")</f>
        <v/>
      </c>
      <c r="B14" s="43">
        <f>IF($A14="","",10)</f>
        <v/>
      </c>
      <c r="C14" s="43">
        <f>IF($A14="","",INDEX('Stock list'!$H$2:$H$301,$A14))</f>
        <v/>
      </c>
      <c r="D14" s="43">
        <f>IF($A14="","",INDEX('Stock list'!$A$2:$A$301,$A14))</f>
        <v/>
      </c>
      <c r="E14" s="43">
        <f>IF($A14="","",INDEX('Stock list'!$I$2:$I$301,$A14)&amp;"")</f>
        <v/>
      </c>
      <c r="F14" s="43">
        <f>IF($A14="","",INDEX('Stock list'!$J$2:$J$301,$A14)&amp;"")</f>
        <v/>
      </c>
      <c r="G14" s="32">
        <f>IF($A14="","",INDEX('Stock list'!$Z$2:$Z$301,$A14))</f>
        <v/>
      </c>
      <c r="H14" s="39">
        <f>IF($A14="","",INDEX('Stock list'!$L$2:$L$301,$A14))</f>
        <v/>
      </c>
      <c r="I14" s="39">
        <f>IF($A14="","",INDEX('Stock list'!$AB$2:$AB$301,$A14))</f>
        <v/>
      </c>
      <c r="J14" s="30">
        <f>IF($A14="","",INDEX('Stock list'!$B$2:$B$301,$A14))</f>
        <v/>
      </c>
      <c r="K14" s="43">
        <f>IF($A14="","",INDEX('Stock list'!$N$2:$N$301,$A14)&amp;"")</f>
        <v/>
      </c>
      <c r="L14" s="43">
        <f>IF($A14="","",INDEX('Stock list'!$A$2:$A$301,$A14)&amp;" (cat. "&amp;INDEX('Stock list'!$I$2:$I$301,$A14)&amp;"), "&amp;INDEX('Stock list'!$Z$2:$Z$301,$A14)&amp;" × "&amp;INDEX('Stock list'!$J$2:$J$301,$A14)&amp;", "&amp;Settings!$C$11&amp;TEXT(INDEX('Stock list'!$AB$2:$AB$301,$A14),"#,##0.00"))</f>
        <v/>
      </c>
      <c r="N14" s="43">
        <f>IF(T14="","",INDEX(Suppliers!$B$5:$B$24,T14))</f>
        <v/>
      </c>
      <c r="O14" s="32">
        <f>IF(N14="","",COUNTIFS('Stock list'!$H$2:$H$301,N14,'Stock list'!$AE$2:$AE$301,1))</f>
        <v/>
      </c>
      <c r="P14" s="39">
        <f>IF(N14="","",SUMIFS('Stock list'!$AB$2:$AB$301,'Stock list'!$H$2:$H$301,N14,'Stock list'!$AE$2:$AE$301,1))</f>
        <v/>
      </c>
      <c r="Q14" s="44">
        <f>IF(N14="","",IF(N(INDEX(Suppliers!$F$5:$F$24,T14))&gt;0,IF(P14&lt;INDEX(Suppliers!$F$5:$F$24,T14),"Below "&amp;Settings!$C$11&amp;INDEX(Suppliers!$F$5:$F$24,T14),""),""))</f>
        <v/>
      </c>
      <c r="S14">
        <f>IF(OR(Suppliers!$B$14="",COUNTIFS('Stock list'!$H$2:$H$301,Suppliers!$B$14,'Stock list'!$AE$2:$AE$301,1)=0),"",10)</f>
        <v/>
      </c>
      <c r="T14">
        <f>IFERROR(SMALL($S$5:$S$24,10),"")</f>
        <v/>
      </c>
    </row>
    <row r="15">
      <c r="A15" s="42">
        <f>IFERROR(MATCH(11,'Stock list'!$AG$2:$AG$301,0),"")</f>
        <v/>
      </c>
      <c r="B15" s="43">
        <f>IF($A15="","",11)</f>
        <v/>
      </c>
      <c r="C15" s="43">
        <f>IF($A15="","",INDEX('Stock list'!$H$2:$H$301,$A15))</f>
        <v/>
      </c>
      <c r="D15" s="43">
        <f>IF($A15="","",INDEX('Stock list'!$A$2:$A$301,$A15))</f>
        <v/>
      </c>
      <c r="E15" s="43">
        <f>IF($A15="","",INDEX('Stock list'!$I$2:$I$301,$A15)&amp;"")</f>
        <v/>
      </c>
      <c r="F15" s="43">
        <f>IF($A15="","",INDEX('Stock list'!$J$2:$J$301,$A15)&amp;"")</f>
        <v/>
      </c>
      <c r="G15" s="32">
        <f>IF($A15="","",INDEX('Stock list'!$Z$2:$Z$301,$A15))</f>
        <v/>
      </c>
      <c r="H15" s="39">
        <f>IF($A15="","",INDEX('Stock list'!$L$2:$L$301,$A15))</f>
        <v/>
      </c>
      <c r="I15" s="39">
        <f>IF($A15="","",INDEX('Stock list'!$AB$2:$AB$301,$A15))</f>
        <v/>
      </c>
      <c r="J15" s="30">
        <f>IF($A15="","",INDEX('Stock list'!$B$2:$B$301,$A15))</f>
        <v/>
      </c>
      <c r="K15" s="43">
        <f>IF($A15="","",INDEX('Stock list'!$N$2:$N$301,$A15)&amp;"")</f>
        <v/>
      </c>
      <c r="L15" s="43">
        <f>IF($A15="","",INDEX('Stock list'!$A$2:$A$301,$A15)&amp;" (cat. "&amp;INDEX('Stock list'!$I$2:$I$301,$A15)&amp;"), "&amp;INDEX('Stock list'!$Z$2:$Z$301,$A15)&amp;" × "&amp;INDEX('Stock list'!$J$2:$J$301,$A15)&amp;", "&amp;Settings!$C$11&amp;TEXT(INDEX('Stock list'!$AB$2:$AB$301,$A15),"#,##0.00"))</f>
        <v/>
      </c>
      <c r="N15" s="43">
        <f>IF(T15="","",INDEX(Suppliers!$B$5:$B$24,T15))</f>
        <v/>
      </c>
      <c r="O15" s="32">
        <f>IF(N15="","",COUNTIFS('Stock list'!$H$2:$H$301,N15,'Stock list'!$AE$2:$AE$301,1))</f>
        <v/>
      </c>
      <c r="P15" s="39">
        <f>IF(N15="","",SUMIFS('Stock list'!$AB$2:$AB$301,'Stock list'!$H$2:$H$301,N15,'Stock list'!$AE$2:$AE$301,1))</f>
        <v/>
      </c>
      <c r="Q15" s="44">
        <f>IF(N15="","",IF(N(INDEX(Suppliers!$F$5:$F$24,T15))&gt;0,IF(P15&lt;INDEX(Suppliers!$F$5:$F$24,T15),"Below "&amp;Settings!$C$11&amp;INDEX(Suppliers!$F$5:$F$24,T15),""),""))</f>
        <v/>
      </c>
      <c r="S15">
        <f>IF(OR(Suppliers!$B$15="",COUNTIFS('Stock list'!$H$2:$H$301,Suppliers!$B$15,'Stock list'!$AE$2:$AE$301,1)=0),"",11)</f>
        <v/>
      </c>
      <c r="T15">
        <f>IFERROR(SMALL($S$5:$S$24,11),"")</f>
        <v/>
      </c>
    </row>
    <row r="16">
      <c r="A16" s="42">
        <f>IFERROR(MATCH(12,'Stock list'!$AG$2:$AG$301,0),"")</f>
        <v/>
      </c>
      <c r="B16" s="43">
        <f>IF($A16="","",12)</f>
        <v/>
      </c>
      <c r="C16" s="43">
        <f>IF($A16="","",INDEX('Stock list'!$H$2:$H$301,$A16))</f>
        <v/>
      </c>
      <c r="D16" s="43">
        <f>IF($A16="","",INDEX('Stock list'!$A$2:$A$301,$A16))</f>
        <v/>
      </c>
      <c r="E16" s="43">
        <f>IF($A16="","",INDEX('Stock list'!$I$2:$I$301,$A16)&amp;"")</f>
        <v/>
      </c>
      <c r="F16" s="43">
        <f>IF($A16="","",INDEX('Stock list'!$J$2:$J$301,$A16)&amp;"")</f>
        <v/>
      </c>
      <c r="G16" s="32">
        <f>IF($A16="","",INDEX('Stock list'!$Z$2:$Z$301,$A16))</f>
        <v/>
      </c>
      <c r="H16" s="39">
        <f>IF($A16="","",INDEX('Stock list'!$L$2:$L$301,$A16))</f>
        <v/>
      </c>
      <c r="I16" s="39">
        <f>IF($A16="","",INDEX('Stock list'!$AB$2:$AB$301,$A16))</f>
        <v/>
      </c>
      <c r="J16" s="30">
        <f>IF($A16="","",INDEX('Stock list'!$B$2:$B$301,$A16))</f>
        <v/>
      </c>
      <c r="K16" s="43">
        <f>IF($A16="","",INDEX('Stock list'!$N$2:$N$301,$A16)&amp;"")</f>
        <v/>
      </c>
      <c r="L16" s="43">
        <f>IF($A16="","",INDEX('Stock list'!$A$2:$A$301,$A16)&amp;" (cat. "&amp;INDEX('Stock list'!$I$2:$I$301,$A16)&amp;"), "&amp;INDEX('Stock list'!$Z$2:$Z$301,$A16)&amp;" × "&amp;INDEX('Stock list'!$J$2:$J$301,$A16)&amp;", "&amp;Settings!$C$11&amp;TEXT(INDEX('Stock list'!$AB$2:$AB$301,$A16),"#,##0.00"))</f>
        <v/>
      </c>
      <c r="N16" s="43">
        <f>IF(T16="","",INDEX(Suppliers!$B$5:$B$24,T16))</f>
        <v/>
      </c>
      <c r="O16" s="32">
        <f>IF(N16="","",COUNTIFS('Stock list'!$H$2:$H$301,N16,'Stock list'!$AE$2:$AE$301,1))</f>
        <v/>
      </c>
      <c r="P16" s="39">
        <f>IF(N16="","",SUMIFS('Stock list'!$AB$2:$AB$301,'Stock list'!$H$2:$H$301,N16,'Stock list'!$AE$2:$AE$301,1))</f>
        <v/>
      </c>
      <c r="Q16" s="44">
        <f>IF(N16="","",IF(N(INDEX(Suppliers!$F$5:$F$24,T16))&gt;0,IF(P16&lt;INDEX(Suppliers!$F$5:$F$24,T16),"Below "&amp;Settings!$C$11&amp;INDEX(Suppliers!$F$5:$F$24,T16),""),""))</f>
        <v/>
      </c>
      <c r="S16">
        <f>IF(OR(Suppliers!$B$16="",COUNTIFS('Stock list'!$H$2:$H$301,Suppliers!$B$16,'Stock list'!$AE$2:$AE$301,1)=0),"",12)</f>
        <v/>
      </c>
      <c r="T16">
        <f>IFERROR(SMALL($S$5:$S$24,12),"")</f>
        <v/>
      </c>
    </row>
    <row r="17">
      <c r="A17" s="42">
        <f>IFERROR(MATCH(13,'Stock list'!$AG$2:$AG$301,0),"")</f>
        <v/>
      </c>
      <c r="B17" s="43">
        <f>IF($A17="","",13)</f>
        <v/>
      </c>
      <c r="C17" s="43">
        <f>IF($A17="","",INDEX('Stock list'!$H$2:$H$301,$A17))</f>
        <v/>
      </c>
      <c r="D17" s="43">
        <f>IF($A17="","",INDEX('Stock list'!$A$2:$A$301,$A17))</f>
        <v/>
      </c>
      <c r="E17" s="43">
        <f>IF($A17="","",INDEX('Stock list'!$I$2:$I$301,$A17)&amp;"")</f>
        <v/>
      </c>
      <c r="F17" s="43">
        <f>IF($A17="","",INDEX('Stock list'!$J$2:$J$301,$A17)&amp;"")</f>
        <v/>
      </c>
      <c r="G17" s="32">
        <f>IF($A17="","",INDEX('Stock list'!$Z$2:$Z$301,$A17))</f>
        <v/>
      </c>
      <c r="H17" s="39">
        <f>IF($A17="","",INDEX('Stock list'!$L$2:$L$301,$A17))</f>
        <v/>
      </c>
      <c r="I17" s="39">
        <f>IF($A17="","",INDEX('Stock list'!$AB$2:$AB$301,$A17))</f>
        <v/>
      </c>
      <c r="J17" s="30">
        <f>IF($A17="","",INDEX('Stock list'!$B$2:$B$301,$A17))</f>
        <v/>
      </c>
      <c r="K17" s="43">
        <f>IF($A17="","",INDEX('Stock list'!$N$2:$N$301,$A17)&amp;"")</f>
        <v/>
      </c>
      <c r="L17" s="43">
        <f>IF($A17="","",INDEX('Stock list'!$A$2:$A$301,$A17)&amp;" (cat. "&amp;INDEX('Stock list'!$I$2:$I$301,$A17)&amp;"), "&amp;INDEX('Stock list'!$Z$2:$Z$301,$A17)&amp;" × "&amp;INDEX('Stock list'!$J$2:$J$301,$A17)&amp;", "&amp;Settings!$C$11&amp;TEXT(INDEX('Stock list'!$AB$2:$AB$301,$A17),"#,##0.00"))</f>
        <v/>
      </c>
      <c r="N17" s="43">
        <f>IF(T17="","",INDEX(Suppliers!$B$5:$B$24,T17))</f>
        <v/>
      </c>
      <c r="O17" s="32">
        <f>IF(N17="","",COUNTIFS('Stock list'!$H$2:$H$301,N17,'Stock list'!$AE$2:$AE$301,1))</f>
        <v/>
      </c>
      <c r="P17" s="39">
        <f>IF(N17="","",SUMIFS('Stock list'!$AB$2:$AB$301,'Stock list'!$H$2:$H$301,N17,'Stock list'!$AE$2:$AE$301,1))</f>
        <v/>
      </c>
      <c r="Q17" s="44">
        <f>IF(N17="","",IF(N(INDEX(Suppliers!$F$5:$F$24,T17))&gt;0,IF(P17&lt;INDEX(Suppliers!$F$5:$F$24,T17),"Below "&amp;Settings!$C$11&amp;INDEX(Suppliers!$F$5:$F$24,T17),""),""))</f>
        <v/>
      </c>
      <c r="S17">
        <f>IF(OR(Suppliers!$B$17="",COUNTIFS('Stock list'!$H$2:$H$301,Suppliers!$B$17,'Stock list'!$AE$2:$AE$301,1)=0),"",13)</f>
        <v/>
      </c>
      <c r="T17">
        <f>IFERROR(SMALL($S$5:$S$24,13),"")</f>
        <v/>
      </c>
    </row>
    <row r="18">
      <c r="A18" s="42">
        <f>IFERROR(MATCH(14,'Stock list'!$AG$2:$AG$301,0),"")</f>
        <v/>
      </c>
      <c r="B18" s="43">
        <f>IF($A18="","",14)</f>
        <v/>
      </c>
      <c r="C18" s="43">
        <f>IF($A18="","",INDEX('Stock list'!$H$2:$H$301,$A18))</f>
        <v/>
      </c>
      <c r="D18" s="43">
        <f>IF($A18="","",INDEX('Stock list'!$A$2:$A$301,$A18))</f>
        <v/>
      </c>
      <c r="E18" s="43">
        <f>IF($A18="","",INDEX('Stock list'!$I$2:$I$301,$A18)&amp;"")</f>
        <v/>
      </c>
      <c r="F18" s="43">
        <f>IF($A18="","",INDEX('Stock list'!$J$2:$J$301,$A18)&amp;"")</f>
        <v/>
      </c>
      <c r="G18" s="32">
        <f>IF($A18="","",INDEX('Stock list'!$Z$2:$Z$301,$A18))</f>
        <v/>
      </c>
      <c r="H18" s="39">
        <f>IF($A18="","",INDEX('Stock list'!$L$2:$L$301,$A18))</f>
        <v/>
      </c>
      <c r="I18" s="39">
        <f>IF($A18="","",INDEX('Stock list'!$AB$2:$AB$301,$A18))</f>
        <v/>
      </c>
      <c r="J18" s="30">
        <f>IF($A18="","",INDEX('Stock list'!$B$2:$B$301,$A18))</f>
        <v/>
      </c>
      <c r="K18" s="43">
        <f>IF($A18="","",INDEX('Stock list'!$N$2:$N$301,$A18)&amp;"")</f>
        <v/>
      </c>
      <c r="L18" s="43">
        <f>IF($A18="","",INDEX('Stock list'!$A$2:$A$301,$A18)&amp;" (cat. "&amp;INDEX('Stock list'!$I$2:$I$301,$A18)&amp;"), "&amp;INDEX('Stock list'!$Z$2:$Z$301,$A18)&amp;" × "&amp;INDEX('Stock list'!$J$2:$J$301,$A18)&amp;", "&amp;Settings!$C$11&amp;TEXT(INDEX('Stock list'!$AB$2:$AB$301,$A18),"#,##0.00"))</f>
        <v/>
      </c>
      <c r="N18" s="43">
        <f>IF(T18="","",INDEX(Suppliers!$B$5:$B$24,T18))</f>
        <v/>
      </c>
      <c r="O18" s="32">
        <f>IF(N18="","",COUNTIFS('Stock list'!$H$2:$H$301,N18,'Stock list'!$AE$2:$AE$301,1))</f>
        <v/>
      </c>
      <c r="P18" s="39">
        <f>IF(N18="","",SUMIFS('Stock list'!$AB$2:$AB$301,'Stock list'!$H$2:$H$301,N18,'Stock list'!$AE$2:$AE$301,1))</f>
        <v/>
      </c>
      <c r="Q18" s="44">
        <f>IF(N18="","",IF(N(INDEX(Suppliers!$F$5:$F$24,T18))&gt;0,IF(P18&lt;INDEX(Suppliers!$F$5:$F$24,T18),"Below "&amp;Settings!$C$11&amp;INDEX(Suppliers!$F$5:$F$24,T18),""),""))</f>
        <v/>
      </c>
      <c r="S18">
        <f>IF(OR(Suppliers!$B$18="",COUNTIFS('Stock list'!$H$2:$H$301,Suppliers!$B$18,'Stock list'!$AE$2:$AE$301,1)=0),"",14)</f>
        <v/>
      </c>
      <c r="T18">
        <f>IFERROR(SMALL($S$5:$S$24,14),"")</f>
        <v/>
      </c>
    </row>
    <row r="19">
      <c r="A19" s="42">
        <f>IFERROR(MATCH(15,'Stock list'!$AG$2:$AG$301,0),"")</f>
        <v/>
      </c>
      <c r="B19" s="43">
        <f>IF($A19="","",15)</f>
        <v/>
      </c>
      <c r="C19" s="43">
        <f>IF($A19="","",INDEX('Stock list'!$H$2:$H$301,$A19))</f>
        <v/>
      </c>
      <c r="D19" s="43">
        <f>IF($A19="","",INDEX('Stock list'!$A$2:$A$301,$A19))</f>
        <v/>
      </c>
      <c r="E19" s="43">
        <f>IF($A19="","",INDEX('Stock list'!$I$2:$I$301,$A19)&amp;"")</f>
        <v/>
      </c>
      <c r="F19" s="43">
        <f>IF($A19="","",INDEX('Stock list'!$J$2:$J$301,$A19)&amp;"")</f>
        <v/>
      </c>
      <c r="G19" s="32">
        <f>IF($A19="","",INDEX('Stock list'!$Z$2:$Z$301,$A19))</f>
        <v/>
      </c>
      <c r="H19" s="39">
        <f>IF($A19="","",INDEX('Stock list'!$L$2:$L$301,$A19))</f>
        <v/>
      </c>
      <c r="I19" s="39">
        <f>IF($A19="","",INDEX('Stock list'!$AB$2:$AB$301,$A19))</f>
        <v/>
      </c>
      <c r="J19" s="30">
        <f>IF($A19="","",INDEX('Stock list'!$B$2:$B$301,$A19))</f>
        <v/>
      </c>
      <c r="K19" s="43">
        <f>IF($A19="","",INDEX('Stock list'!$N$2:$N$301,$A19)&amp;"")</f>
        <v/>
      </c>
      <c r="L19" s="43">
        <f>IF($A19="","",INDEX('Stock list'!$A$2:$A$301,$A19)&amp;" (cat. "&amp;INDEX('Stock list'!$I$2:$I$301,$A19)&amp;"), "&amp;INDEX('Stock list'!$Z$2:$Z$301,$A19)&amp;" × "&amp;INDEX('Stock list'!$J$2:$J$301,$A19)&amp;", "&amp;Settings!$C$11&amp;TEXT(INDEX('Stock list'!$AB$2:$AB$301,$A19),"#,##0.00"))</f>
        <v/>
      </c>
      <c r="N19" s="43">
        <f>IF(T19="","",INDEX(Suppliers!$B$5:$B$24,T19))</f>
        <v/>
      </c>
      <c r="O19" s="32">
        <f>IF(N19="","",COUNTIFS('Stock list'!$H$2:$H$301,N19,'Stock list'!$AE$2:$AE$301,1))</f>
        <v/>
      </c>
      <c r="P19" s="39">
        <f>IF(N19="","",SUMIFS('Stock list'!$AB$2:$AB$301,'Stock list'!$H$2:$H$301,N19,'Stock list'!$AE$2:$AE$301,1))</f>
        <v/>
      </c>
      <c r="Q19" s="44">
        <f>IF(N19="","",IF(N(INDEX(Suppliers!$F$5:$F$24,T19))&gt;0,IF(P19&lt;INDEX(Suppliers!$F$5:$F$24,T19),"Below "&amp;Settings!$C$11&amp;INDEX(Suppliers!$F$5:$F$24,T19),""),""))</f>
        <v/>
      </c>
      <c r="S19">
        <f>IF(OR(Suppliers!$B$19="",COUNTIFS('Stock list'!$H$2:$H$301,Suppliers!$B$19,'Stock list'!$AE$2:$AE$301,1)=0),"",15)</f>
        <v/>
      </c>
      <c r="T19">
        <f>IFERROR(SMALL($S$5:$S$24,15),"")</f>
        <v/>
      </c>
    </row>
    <row r="20">
      <c r="A20" s="42">
        <f>IFERROR(MATCH(16,'Stock list'!$AG$2:$AG$301,0),"")</f>
        <v/>
      </c>
      <c r="B20" s="43">
        <f>IF($A20="","",16)</f>
        <v/>
      </c>
      <c r="C20" s="43">
        <f>IF($A20="","",INDEX('Stock list'!$H$2:$H$301,$A20))</f>
        <v/>
      </c>
      <c r="D20" s="43">
        <f>IF($A20="","",INDEX('Stock list'!$A$2:$A$301,$A20))</f>
        <v/>
      </c>
      <c r="E20" s="43">
        <f>IF($A20="","",INDEX('Stock list'!$I$2:$I$301,$A20)&amp;"")</f>
        <v/>
      </c>
      <c r="F20" s="43">
        <f>IF($A20="","",INDEX('Stock list'!$J$2:$J$301,$A20)&amp;"")</f>
        <v/>
      </c>
      <c r="G20" s="32">
        <f>IF($A20="","",INDEX('Stock list'!$Z$2:$Z$301,$A20))</f>
        <v/>
      </c>
      <c r="H20" s="39">
        <f>IF($A20="","",INDEX('Stock list'!$L$2:$L$301,$A20))</f>
        <v/>
      </c>
      <c r="I20" s="39">
        <f>IF($A20="","",INDEX('Stock list'!$AB$2:$AB$301,$A20))</f>
        <v/>
      </c>
      <c r="J20" s="30">
        <f>IF($A20="","",INDEX('Stock list'!$B$2:$B$301,$A20))</f>
        <v/>
      </c>
      <c r="K20" s="43">
        <f>IF($A20="","",INDEX('Stock list'!$N$2:$N$301,$A20)&amp;"")</f>
        <v/>
      </c>
      <c r="L20" s="43">
        <f>IF($A20="","",INDEX('Stock list'!$A$2:$A$301,$A20)&amp;" (cat. "&amp;INDEX('Stock list'!$I$2:$I$301,$A20)&amp;"), "&amp;INDEX('Stock list'!$Z$2:$Z$301,$A20)&amp;" × "&amp;INDEX('Stock list'!$J$2:$J$301,$A20)&amp;", "&amp;Settings!$C$11&amp;TEXT(INDEX('Stock list'!$AB$2:$AB$301,$A20),"#,##0.00"))</f>
        <v/>
      </c>
      <c r="N20" s="43">
        <f>IF(T20="","",INDEX(Suppliers!$B$5:$B$24,T20))</f>
        <v/>
      </c>
      <c r="O20" s="32">
        <f>IF(N20="","",COUNTIFS('Stock list'!$H$2:$H$301,N20,'Stock list'!$AE$2:$AE$301,1))</f>
        <v/>
      </c>
      <c r="P20" s="39">
        <f>IF(N20="","",SUMIFS('Stock list'!$AB$2:$AB$301,'Stock list'!$H$2:$H$301,N20,'Stock list'!$AE$2:$AE$301,1))</f>
        <v/>
      </c>
      <c r="Q20" s="44">
        <f>IF(N20="","",IF(N(INDEX(Suppliers!$F$5:$F$24,T20))&gt;0,IF(P20&lt;INDEX(Suppliers!$F$5:$F$24,T20),"Below "&amp;Settings!$C$11&amp;INDEX(Suppliers!$F$5:$F$24,T20),""),""))</f>
        <v/>
      </c>
      <c r="S20">
        <f>IF(OR(Suppliers!$B$20="",COUNTIFS('Stock list'!$H$2:$H$301,Suppliers!$B$20,'Stock list'!$AE$2:$AE$301,1)=0),"",16)</f>
        <v/>
      </c>
      <c r="T20">
        <f>IFERROR(SMALL($S$5:$S$24,16),"")</f>
        <v/>
      </c>
    </row>
    <row r="21">
      <c r="A21" s="42">
        <f>IFERROR(MATCH(17,'Stock list'!$AG$2:$AG$301,0),"")</f>
        <v/>
      </c>
      <c r="B21" s="43">
        <f>IF($A21="","",17)</f>
        <v/>
      </c>
      <c r="C21" s="43">
        <f>IF($A21="","",INDEX('Stock list'!$H$2:$H$301,$A21))</f>
        <v/>
      </c>
      <c r="D21" s="43">
        <f>IF($A21="","",INDEX('Stock list'!$A$2:$A$301,$A21))</f>
        <v/>
      </c>
      <c r="E21" s="43">
        <f>IF($A21="","",INDEX('Stock list'!$I$2:$I$301,$A21)&amp;"")</f>
        <v/>
      </c>
      <c r="F21" s="43">
        <f>IF($A21="","",INDEX('Stock list'!$J$2:$J$301,$A21)&amp;"")</f>
        <v/>
      </c>
      <c r="G21" s="32">
        <f>IF($A21="","",INDEX('Stock list'!$Z$2:$Z$301,$A21))</f>
        <v/>
      </c>
      <c r="H21" s="39">
        <f>IF($A21="","",INDEX('Stock list'!$L$2:$L$301,$A21))</f>
        <v/>
      </c>
      <c r="I21" s="39">
        <f>IF($A21="","",INDEX('Stock list'!$AB$2:$AB$301,$A21))</f>
        <v/>
      </c>
      <c r="J21" s="30">
        <f>IF($A21="","",INDEX('Stock list'!$B$2:$B$301,$A21))</f>
        <v/>
      </c>
      <c r="K21" s="43">
        <f>IF($A21="","",INDEX('Stock list'!$N$2:$N$301,$A21)&amp;"")</f>
        <v/>
      </c>
      <c r="L21" s="43">
        <f>IF($A21="","",INDEX('Stock list'!$A$2:$A$301,$A21)&amp;" (cat. "&amp;INDEX('Stock list'!$I$2:$I$301,$A21)&amp;"), "&amp;INDEX('Stock list'!$Z$2:$Z$301,$A21)&amp;" × "&amp;INDEX('Stock list'!$J$2:$J$301,$A21)&amp;", "&amp;Settings!$C$11&amp;TEXT(INDEX('Stock list'!$AB$2:$AB$301,$A21),"#,##0.00"))</f>
        <v/>
      </c>
      <c r="N21" s="43">
        <f>IF(T21="","",INDEX(Suppliers!$B$5:$B$24,T21))</f>
        <v/>
      </c>
      <c r="O21" s="32">
        <f>IF(N21="","",COUNTIFS('Stock list'!$H$2:$H$301,N21,'Stock list'!$AE$2:$AE$301,1))</f>
        <v/>
      </c>
      <c r="P21" s="39">
        <f>IF(N21="","",SUMIFS('Stock list'!$AB$2:$AB$301,'Stock list'!$H$2:$H$301,N21,'Stock list'!$AE$2:$AE$301,1))</f>
        <v/>
      </c>
      <c r="Q21" s="44">
        <f>IF(N21="","",IF(N(INDEX(Suppliers!$F$5:$F$24,T21))&gt;0,IF(P21&lt;INDEX(Suppliers!$F$5:$F$24,T21),"Below "&amp;Settings!$C$11&amp;INDEX(Suppliers!$F$5:$F$24,T21),""),""))</f>
        <v/>
      </c>
      <c r="S21">
        <f>IF(OR(Suppliers!$B$21="",COUNTIFS('Stock list'!$H$2:$H$301,Suppliers!$B$21,'Stock list'!$AE$2:$AE$301,1)=0),"",17)</f>
        <v/>
      </c>
      <c r="T21">
        <f>IFERROR(SMALL($S$5:$S$24,17),"")</f>
        <v/>
      </c>
    </row>
    <row r="22">
      <c r="A22" s="42">
        <f>IFERROR(MATCH(18,'Stock list'!$AG$2:$AG$301,0),"")</f>
        <v/>
      </c>
      <c r="B22" s="43">
        <f>IF($A22="","",18)</f>
        <v/>
      </c>
      <c r="C22" s="43">
        <f>IF($A22="","",INDEX('Stock list'!$H$2:$H$301,$A22))</f>
        <v/>
      </c>
      <c r="D22" s="43">
        <f>IF($A22="","",INDEX('Stock list'!$A$2:$A$301,$A22))</f>
        <v/>
      </c>
      <c r="E22" s="43">
        <f>IF($A22="","",INDEX('Stock list'!$I$2:$I$301,$A22)&amp;"")</f>
        <v/>
      </c>
      <c r="F22" s="43">
        <f>IF($A22="","",INDEX('Stock list'!$J$2:$J$301,$A22)&amp;"")</f>
        <v/>
      </c>
      <c r="G22" s="32">
        <f>IF($A22="","",INDEX('Stock list'!$Z$2:$Z$301,$A22))</f>
        <v/>
      </c>
      <c r="H22" s="39">
        <f>IF($A22="","",INDEX('Stock list'!$L$2:$L$301,$A22))</f>
        <v/>
      </c>
      <c r="I22" s="39">
        <f>IF($A22="","",INDEX('Stock list'!$AB$2:$AB$301,$A22))</f>
        <v/>
      </c>
      <c r="J22" s="30">
        <f>IF($A22="","",INDEX('Stock list'!$B$2:$B$301,$A22))</f>
        <v/>
      </c>
      <c r="K22" s="43">
        <f>IF($A22="","",INDEX('Stock list'!$N$2:$N$301,$A22)&amp;"")</f>
        <v/>
      </c>
      <c r="L22" s="43">
        <f>IF($A22="","",INDEX('Stock list'!$A$2:$A$301,$A22)&amp;" (cat. "&amp;INDEX('Stock list'!$I$2:$I$301,$A22)&amp;"), "&amp;INDEX('Stock list'!$Z$2:$Z$301,$A22)&amp;" × "&amp;INDEX('Stock list'!$J$2:$J$301,$A22)&amp;", "&amp;Settings!$C$11&amp;TEXT(INDEX('Stock list'!$AB$2:$AB$301,$A22),"#,##0.00"))</f>
        <v/>
      </c>
      <c r="N22" s="43">
        <f>IF(T22="","",INDEX(Suppliers!$B$5:$B$24,T22))</f>
        <v/>
      </c>
      <c r="O22" s="32">
        <f>IF(N22="","",COUNTIFS('Stock list'!$H$2:$H$301,N22,'Stock list'!$AE$2:$AE$301,1))</f>
        <v/>
      </c>
      <c r="P22" s="39">
        <f>IF(N22="","",SUMIFS('Stock list'!$AB$2:$AB$301,'Stock list'!$H$2:$H$301,N22,'Stock list'!$AE$2:$AE$301,1))</f>
        <v/>
      </c>
      <c r="Q22" s="44">
        <f>IF(N22="","",IF(N(INDEX(Suppliers!$F$5:$F$24,T22))&gt;0,IF(P22&lt;INDEX(Suppliers!$F$5:$F$24,T22),"Below "&amp;Settings!$C$11&amp;INDEX(Suppliers!$F$5:$F$24,T22),""),""))</f>
        <v/>
      </c>
      <c r="S22">
        <f>IF(OR(Suppliers!$B$22="",COUNTIFS('Stock list'!$H$2:$H$301,Suppliers!$B$22,'Stock list'!$AE$2:$AE$301,1)=0),"",18)</f>
        <v/>
      </c>
      <c r="T22">
        <f>IFERROR(SMALL($S$5:$S$24,18),"")</f>
        <v/>
      </c>
    </row>
    <row r="23">
      <c r="A23" s="42">
        <f>IFERROR(MATCH(19,'Stock list'!$AG$2:$AG$301,0),"")</f>
        <v/>
      </c>
      <c r="B23" s="43">
        <f>IF($A23="","",19)</f>
        <v/>
      </c>
      <c r="C23" s="43">
        <f>IF($A23="","",INDEX('Stock list'!$H$2:$H$301,$A23))</f>
        <v/>
      </c>
      <c r="D23" s="43">
        <f>IF($A23="","",INDEX('Stock list'!$A$2:$A$301,$A23))</f>
        <v/>
      </c>
      <c r="E23" s="43">
        <f>IF($A23="","",INDEX('Stock list'!$I$2:$I$301,$A23)&amp;"")</f>
        <v/>
      </c>
      <c r="F23" s="43">
        <f>IF($A23="","",INDEX('Stock list'!$J$2:$J$301,$A23)&amp;"")</f>
        <v/>
      </c>
      <c r="G23" s="32">
        <f>IF($A23="","",INDEX('Stock list'!$Z$2:$Z$301,$A23))</f>
        <v/>
      </c>
      <c r="H23" s="39">
        <f>IF($A23="","",INDEX('Stock list'!$L$2:$L$301,$A23))</f>
        <v/>
      </c>
      <c r="I23" s="39">
        <f>IF($A23="","",INDEX('Stock list'!$AB$2:$AB$301,$A23))</f>
        <v/>
      </c>
      <c r="J23" s="30">
        <f>IF($A23="","",INDEX('Stock list'!$B$2:$B$301,$A23))</f>
        <v/>
      </c>
      <c r="K23" s="43">
        <f>IF($A23="","",INDEX('Stock list'!$N$2:$N$301,$A23)&amp;"")</f>
        <v/>
      </c>
      <c r="L23" s="43">
        <f>IF($A23="","",INDEX('Stock list'!$A$2:$A$301,$A23)&amp;" (cat. "&amp;INDEX('Stock list'!$I$2:$I$301,$A23)&amp;"), "&amp;INDEX('Stock list'!$Z$2:$Z$301,$A23)&amp;" × "&amp;INDEX('Stock list'!$J$2:$J$301,$A23)&amp;", "&amp;Settings!$C$11&amp;TEXT(INDEX('Stock list'!$AB$2:$AB$301,$A23),"#,##0.00"))</f>
        <v/>
      </c>
      <c r="N23" s="43">
        <f>IF(T23="","",INDEX(Suppliers!$B$5:$B$24,T23))</f>
        <v/>
      </c>
      <c r="O23" s="32">
        <f>IF(N23="","",COUNTIFS('Stock list'!$H$2:$H$301,N23,'Stock list'!$AE$2:$AE$301,1))</f>
        <v/>
      </c>
      <c r="P23" s="39">
        <f>IF(N23="","",SUMIFS('Stock list'!$AB$2:$AB$301,'Stock list'!$H$2:$H$301,N23,'Stock list'!$AE$2:$AE$301,1))</f>
        <v/>
      </c>
      <c r="Q23" s="44">
        <f>IF(N23="","",IF(N(INDEX(Suppliers!$F$5:$F$24,T23))&gt;0,IF(P23&lt;INDEX(Suppliers!$F$5:$F$24,T23),"Below "&amp;Settings!$C$11&amp;INDEX(Suppliers!$F$5:$F$24,T23),""),""))</f>
        <v/>
      </c>
      <c r="S23">
        <f>IF(OR(Suppliers!$B$23="",COUNTIFS('Stock list'!$H$2:$H$301,Suppliers!$B$23,'Stock list'!$AE$2:$AE$301,1)=0),"",19)</f>
        <v/>
      </c>
      <c r="T23">
        <f>IFERROR(SMALL($S$5:$S$24,19),"")</f>
        <v/>
      </c>
    </row>
    <row r="24">
      <c r="A24" s="42">
        <f>IFERROR(MATCH(20,'Stock list'!$AG$2:$AG$301,0),"")</f>
        <v/>
      </c>
      <c r="B24" s="43">
        <f>IF($A24="","",20)</f>
        <v/>
      </c>
      <c r="C24" s="43">
        <f>IF($A24="","",INDEX('Stock list'!$H$2:$H$301,$A24))</f>
        <v/>
      </c>
      <c r="D24" s="43">
        <f>IF($A24="","",INDEX('Stock list'!$A$2:$A$301,$A24))</f>
        <v/>
      </c>
      <c r="E24" s="43">
        <f>IF($A24="","",INDEX('Stock list'!$I$2:$I$301,$A24)&amp;"")</f>
        <v/>
      </c>
      <c r="F24" s="43">
        <f>IF($A24="","",INDEX('Stock list'!$J$2:$J$301,$A24)&amp;"")</f>
        <v/>
      </c>
      <c r="G24" s="32">
        <f>IF($A24="","",INDEX('Stock list'!$Z$2:$Z$301,$A24))</f>
        <v/>
      </c>
      <c r="H24" s="39">
        <f>IF($A24="","",INDEX('Stock list'!$L$2:$L$301,$A24))</f>
        <v/>
      </c>
      <c r="I24" s="39">
        <f>IF($A24="","",INDEX('Stock list'!$AB$2:$AB$301,$A24))</f>
        <v/>
      </c>
      <c r="J24" s="30">
        <f>IF($A24="","",INDEX('Stock list'!$B$2:$B$301,$A24))</f>
        <v/>
      </c>
      <c r="K24" s="43">
        <f>IF($A24="","",INDEX('Stock list'!$N$2:$N$301,$A24)&amp;"")</f>
        <v/>
      </c>
      <c r="L24" s="43">
        <f>IF($A24="","",INDEX('Stock list'!$A$2:$A$301,$A24)&amp;" (cat. "&amp;INDEX('Stock list'!$I$2:$I$301,$A24)&amp;"), "&amp;INDEX('Stock list'!$Z$2:$Z$301,$A24)&amp;" × "&amp;INDEX('Stock list'!$J$2:$J$301,$A24)&amp;", "&amp;Settings!$C$11&amp;TEXT(INDEX('Stock list'!$AB$2:$AB$301,$A24),"#,##0.00"))</f>
        <v/>
      </c>
      <c r="N24" s="43">
        <f>IF(T24="","",INDEX(Suppliers!$B$5:$B$24,T24))</f>
        <v/>
      </c>
      <c r="O24" s="32">
        <f>IF(N24="","",COUNTIFS('Stock list'!$H$2:$H$301,N24,'Stock list'!$AE$2:$AE$301,1))</f>
        <v/>
      </c>
      <c r="P24" s="39">
        <f>IF(N24="","",SUMIFS('Stock list'!$AB$2:$AB$301,'Stock list'!$H$2:$H$301,N24,'Stock list'!$AE$2:$AE$301,1))</f>
        <v/>
      </c>
      <c r="Q24" s="44">
        <f>IF(N24="","",IF(N(INDEX(Suppliers!$F$5:$F$24,T24))&gt;0,IF(P24&lt;INDEX(Suppliers!$F$5:$F$24,T24),"Below "&amp;Settings!$C$11&amp;INDEX(Suppliers!$F$5:$F$24,T24),""),""))</f>
        <v/>
      </c>
      <c r="S24">
        <f>IF(OR(Suppliers!$B$24="",COUNTIFS('Stock list'!$H$2:$H$301,Suppliers!$B$24,'Stock list'!$AE$2:$AE$301,1)=0),"",20)</f>
        <v/>
      </c>
      <c r="T24">
        <f>IFERROR(SMALL($S$5:$S$24,20),"")</f>
        <v/>
      </c>
    </row>
    <row r="25">
      <c r="A25" s="42">
        <f>IFERROR(MATCH(21,'Stock list'!$AG$2:$AG$301,0),"")</f>
        <v/>
      </c>
      <c r="B25" s="43">
        <f>IF($A25="","",21)</f>
        <v/>
      </c>
      <c r="C25" s="43">
        <f>IF($A25="","",INDEX('Stock list'!$H$2:$H$301,$A25))</f>
        <v/>
      </c>
      <c r="D25" s="43">
        <f>IF($A25="","",INDEX('Stock list'!$A$2:$A$301,$A25))</f>
        <v/>
      </c>
      <c r="E25" s="43">
        <f>IF($A25="","",INDEX('Stock list'!$I$2:$I$301,$A25)&amp;"")</f>
        <v/>
      </c>
      <c r="F25" s="43">
        <f>IF($A25="","",INDEX('Stock list'!$J$2:$J$301,$A25)&amp;"")</f>
        <v/>
      </c>
      <c r="G25" s="32">
        <f>IF($A25="","",INDEX('Stock list'!$Z$2:$Z$301,$A25))</f>
        <v/>
      </c>
      <c r="H25" s="39">
        <f>IF($A25="","",INDEX('Stock list'!$L$2:$L$301,$A25))</f>
        <v/>
      </c>
      <c r="I25" s="39">
        <f>IF($A25="","",INDEX('Stock list'!$AB$2:$AB$301,$A25))</f>
        <v/>
      </c>
      <c r="J25" s="30">
        <f>IF($A25="","",INDEX('Stock list'!$B$2:$B$301,$A25))</f>
        <v/>
      </c>
      <c r="K25" s="43">
        <f>IF($A25="","",INDEX('Stock list'!$N$2:$N$301,$A25)&amp;"")</f>
        <v/>
      </c>
      <c r="L25" s="43">
        <f>IF($A25="","",INDEX('Stock list'!$A$2:$A$301,$A25)&amp;" (cat. "&amp;INDEX('Stock list'!$I$2:$I$301,$A25)&amp;"), "&amp;INDEX('Stock list'!$Z$2:$Z$301,$A25)&amp;" × "&amp;INDEX('Stock list'!$J$2:$J$301,$A25)&amp;", "&amp;Settings!$C$11&amp;TEXT(INDEX('Stock list'!$AB$2:$AB$301,$A25),"#,##0.00"))</f>
        <v/>
      </c>
    </row>
    <row r="26" ht="80" customHeight="1">
      <c r="A26" s="42">
        <f>IFERROR(MATCH(22,'Stock list'!$AG$2:$AG$301,0),"")</f>
        <v/>
      </c>
      <c r="B26" s="43">
        <f>IF($A26="","",22)</f>
        <v/>
      </c>
      <c r="C26" s="43">
        <f>IF($A26="","",INDEX('Stock list'!$H$2:$H$301,$A26))</f>
        <v/>
      </c>
      <c r="D26" s="43">
        <f>IF($A26="","",INDEX('Stock list'!$A$2:$A$301,$A26))</f>
        <v/>
      </c>
      <c r="E26" s="43">
        <f>IF($A26="","",INDEX('Stock list'!$I$2:$I$301,$A26)&amp;"")</f>
        <v/>
      </c>
      <c r="F26" s="43">
        <f>IF($A26="","",INDEX('Stock list'!$J$2:$J$301,$A26)&amp;"")</f>
        <v/>
      </c>
      <c r="G26" s="32">
        <f>IF($A26="","",INDEX('Stock list'!$Z$2:$Z$301,$A26))</f>
        <v/>
      </c>
      <c r="H26" s="39">
        <f>IF($A26="","",INDEX('Stock list'!$L$2:$L$301,$A26))</f>
        <v/>
      </c>
      <c r="I26" s="39">
        <f>IF($A26="","",INDEX('Stock list'!$AB$2:$AB$301,$A26))</f>
        <v/>
      </c>
      <c r="J26" s="30">
        <f>IF($A26="","",INDEX('Stock list'!$B$2:$B$301,$A26))</f>
        <v/>
      </c>
      <c r="K26" s="43">
        <f>IF($A26="","",INDEX('Stock list'!$N$2:$N$301,$A26)&amp;"")</f>
        <v/>
      </c>
      <c r="L26" s="43">
        <f>IF($A26="","",INDEX('Stock list'!$A$2:$A$301,$A26)&amp;" (cat. "&amp;INDEX('Stock list'!$I$2:$I$301,$A26)&amp;"), "&amp;INDEX('Stock list'!$Z$2:$Z$301,$A26)&amp;" × "&amp;INDEX('Stock list'!$J$2:$J$301,$A26)&amp;", "&amp;Settings!$C$11&amp;TEXT(INDEX('Stock list'!$AB$2:$AB$301,$A26),"#,##0.00"))</f>
        <v/>
      </c>
      <c r="N26" s="16" t="inlineStr">
        <is>
          <t>Items at Order now or Critical that are not already on order. When you place an order, enter today's date in Last ordered and the quantity in Ordered qty on the Stock list; the item moves to On order and drops off this list. The Google Sheets edition does that from the Brooks Bio menu.</t>
        </is>
      </c>
    </row>
    <row r="27">
      <c r="A27" s="42">
        <f>IFERROR(MATCH(23,'Stock list'!$AG$2:$AG$301,0),"")</f>
        <v/>
      </c>
      <c r="B27" s="43">
        <f>IF($A27="","",23)</f>
        <v/>
      </c>
      <c r="C27" s="43">
        <f>IF($A27="","",INDEX('Stock list'!$H$2:$H$301,$A27))</f>
        <v/>
      </c>
      <c r="D27" s="43">
        <f>IF($A27="","",INDEX('Stock list'!$A$2:$A$301,$A27))</f>
        <v/>
      </c>
      <c r="E27" s="43">
        <f>IF($A27="","",INDEX('Stock list'!$I$2:$I$301,$A27)&amp;"")</f>
        <v/>
      </c>
      <c r="F27" s="43">
        <f>IF($A27="","",INDEX('Stock list'!$J$2:$J$301,$A27)&amp;"")</f>
        <v/>
      </c>
      <c r="G27" s="32">
        <f>IF($A27="","",INDEX('Stock list'!$Z$2:$Z$301,$A27))</f>
        <v/>
      </c>
      <c r="H27" s="39">
        <f>IF($A27="","",INDEX('Stock list'!$L$2:$L$301,$A27))</f>
        <v/>
      </c>
      <c r="I27" s="39">
        <f>IF($A27="","",INDEX('Stock list'!$AB$2:$AB$301,$A27))</f>
        <v/>
      </c>
      <c r="J27" s="30">
        <f>IF($A27="","",INDEX('Stock list'!$B$2:$B$301,$A27))</f>
        <v/>
      </c>
      <c r="K27" s="43">
        <f>IF($A27="","",INDEX('Stock list'!$N$2:$N$301,$A27)&amp;"")</f>
        <v/>
      </c>
      <c r="L27" s="43">
        <f>IF($A27="","",INDEX('Stock list'!$A$2:$A$301,$A27)&amp;" (cat. "&amp;INDEX('Stock list'!$I$2:$I$301,$A27)&amp;"), "&amp;INDEX('Stock list'!$Z$2:$Z$301,$A27)&amp;" × "&amp;INDEX('Stock list'!$J$2:$J$301,$A27)&amp;", "&amp;Settings!$C$11&amp;TEXT(INDEX('Stock list'!$AB$2:$AB$301,$A27),"#,##0.00"))</f>
        <v/>
      </c>
    </row>
    <row r="28">
      <c r="A28" s="42">
        <f>IFERROR(MATCH(24,'Stock list'!$AG$2:$AG$301,0),"")</f>
        <v/>
      </c>
      <c r="B28" s="43">
        <f>IF($A28="","",24)</f>
        <v/>
      </c>
      <c r="C28" s="43">
        <f>IF($A28="","",INDEX('Stock list'!$H$2:$H$301,$A28))</f>
        <v/>
      </c>
      <c r="D28" s="43">
        <f>IF($A28="","",INDEX('Stock list'!$A$2:$A$301,$A28))</f>
        <v/>
      </c>
      <c r="E28" s="43">
        <f>IF($A28="","",INDEX('Stock list'!$I$2:$I$301,$A28)&amp;"")</f>
        <v/>
      </c>
      <c r="F28" s="43">
        <f>IF($A28="","",INDEX('Stock list'!$J$2:$J$301,$A28)&amp;"")</f>
        <v/>
      </c>
      <c r="G28" s="32">
        <f>IF($A28="","",INDEX('Stock list'!$Z$2:$Z$301,$A28))</f>
        <v/>
      </c>
      <c r="H28" s="39">
        <f>IF($A28="","",INDEX('Stock list'!$L$2:$L$301,$A28))</f>
        <v/>
      </c>
      <c r="I28" s="39">
        <f>IF($A28="","",INDEX('Stock list'!$AB$2:$AB$301,$A28))</f>
        <v/>
      </c>
      <c r="J28" s="30">
        <f>IF($A28="","",INDEX('Stock list'!$B$2:$B$301,$A28))</f>
        <v/>
      </c>
      <c r="K28" s="43">
        <f>IF($A28="","",INDEX('Stock list'!$N$2:$N$301,$A28)&amp;"")</f>
        <v/>
      </c>
      <c r="L28" s="43">
        <f>IF($A28="","",INDEX('Stock list'!$A$2:$A$301,$A28)&amp;" (cat. "&amp;INDEX('Stock list'!$I$2:$I$301,$A28)&amp;"), "&amp;INDEX('Stock list'!$Z$2:$Z$301,$A28)&amp;" × "&amp;INDEX('Stock list'!$J$2:$J$301,$A28)&amp;", "&amp;Settings!$C$11&amp;TEXT(INDEX('Stock list'!$AB$2:$AB$301,$A28),"#,##0.00"))</f>
        <v/>
      </c>
    </row>
    <row r="29">
      <c r="A29" s="42">
        <f>IFERROR(MATCH(25,'Stock list'!$AG$2:$AG$301,0),"")</f>
        <v/>
      </c>
      <c r="B29" s="43">
        <f>IF($A29="","",25)</f>
        <v/>
      </c>
      <c r="C29" s="43">
        <f>IF($A29="","",INDEX('Stock list'!$H$2:$H$301,$A29))</f>
        <v/>
      </c>
      <c r="D29" s="43">
        <f>IF($A29="","",INDEX('Stock list'!$A$2:$A$301,$A29))</f>
        <v/>
      </c>
      <c r="E29" s="43">
        <f>IF($A29="","",INDEX('Stock list'!$I$2:$I$301,$A29)&amp;"")</f>
        <v/>
      </c>
      <c r="F29" s="43">
        <f>IF($A29="","",INDEX('Stock list'!$J$2:$J$301,$A29)&amp;"")</f>
        <v/>
      </c>
      <c r="G29" s="32">
        <f>IF($A29="","",INDEX('Stock list'!$Z$2:$Z$301,$A29))</f>
        <v/>
      </c>
      <c r="H29" s="39">
        <f>IF($A29="","",INDEX('Stock list'!$L$2:$L$301,$A29))</f>
        <v/>
      </c>
      <c r="I29" s="39">
        <f>IF($A29="","",INDEX('Stock list'!$AB$2:$AB$301,$A29))</f>
        <v/>
      </c>
      <c r="J29" s="30">
        <f>IF($A29="","",INDEX('Stock list'!$B$2:$B$301,$A29))</f>
        <v/>
      </c>
      <c r="K29" s="43">
        <f>IF($A29="","",INDEX('Stock list'!$N$2:$N$301,$A29)&amp;"")</f>
        <v/>
      </c>
      <c r="L29" s="43">
        <f>IF($A29="","",INDEX('Stock list'!$A$2:$A$301,$A29)&amp;" (cat. "&amp;INDEX('Stock list'!$I$2:$I$301,$A29)&amp;"), "&amp;INDEX('Stock list'!$Z$2:$Z$301,$A29)&amp;" × "&amp;INDEX('Stock list'!$J$2:$J$301,$A29)&amp;", "&amp;Settings!$C$11&amp;TEXT(INDEX('Stock list'!$AB$2:$AB$301,$A29),"#,##0.00"))</f>
        <v/>
      </c>
    </row>
    <row r="30">
      <c r="A30" s="42">
        <f>IFERROR(MATCH(26,'Stock list'!$AG$2:$AG$301,0),"")</f>
        <v/>
      </c>
      <c r="B30" s="43">
        <f>IF($A30="","",26)</f>
        <v/>
      </c>
      <c r="C30" s="43">
        <f>IF($A30="","",INDEX('Stock list'!$H$2:$H$301,$A30))</f>
        <v/>
      </c>
      <c r="D30" s="43">
        <f>IF($A30="","",INDEX('Stock list'!$A$2:$A$301,$A30))</f>
        <v/>
      </c>
      <c r="E30" s="43">
        <f>IF($A30="","",INDEX('Stock list'!$I$2:$I$301,$A30)&amp;"")</f>
        <v/>
      </c>
      <c r="F30" s="43">
        <f>IF($A30="","",INDEX('Stock list'!$J$2:$J$301,$A30)&amp;"")</f>
        <v/>
      </c>
      <c r="G30" s="32">
        <f>IF($A30="","",INDEX('Stock list'!$Z$2:$Z$301,$A30))</f>
        <v/>
      </c>
      <c r="H30" s="39">
        <f>IF($A30="","",INDEX('Stock list'!$L$2:$L$301,$A30))</f>
        <v/>
      </c>
      <c r="I30" s="39">
        <f>IF($A30="","",INDEX('Stock list'!$AB$2:$AB$301,$A30))</f>
        <v/>
      </c>
      <c r="J30" s="30">
        <f>IF($A30="","",INDEX('Stock list'!$B$2:$B$301,$A30))</f>
        <v/>
      </c>
      <c r="K30" s="43">
        <f>IF($A30="","",INDEX('Stock list'!$N$2:$N$301,$A30)&amp;"")</f>
        <v/>
      </c>
      <c r="L30" s="43">
        <f>IF($A30="","",INDEX('Stock list'!$A$2:$A$301,$A30)&amp;" (cat. "&amp;INDEX('Stock list'!$I$2:$I$301,$A30)&amp;"), "&amp;INDEX('Stock list'!$Z$2:$Z$301,$A30)&amp;" × "&amp;INDEX('Stock list'!$J$2:$J$301,$A30)&amp;", "&amp;Settings!$C$11&amp;TEXT(INDEX('Stock list'!$AB$2:$AB$301,$A30),"#,##0.00"))</f>
        <v/>
      </c>
    </row>
    <row r="31">
      <c r="A31" s="42">
        <f>IFERROR(MATCH(27,'Stock list'!$AG$2:$AG$301,0),"")</f>
        <v/>
      </c>
      <c r="B31" s="43">
        <f>IF($A31="","",27)</f>
        <v/>
      </c>
      <c r="C31" s="43">
        <f>IF($A31="","",INDEX('Stock list'!$H$2:$H$301,$A31))</f>
        <v/>
      </c>
      <c r="D31" s="43">
        <f>IF($A31="","",INDEX('Stock list'!$A$2:$A$301,$A31))</f>
        <v/>
      </c>
      <c r="E31" s="43">
        <f>IF($A31="","",INDEX('Stock list'!$I$2:$I$301,$A31)&amp;"")</f>
        <v/>
      </c>
      <c r="F31" s="43">
        <f>IF($A31="","",INDEX('Stock list'!$J$2:$J$301,$A31)&amp;"")</f>
        <v/>
      </c>
      <c r="G31" s="32">
        <f>IF($A31="","",INDEX('Stock list'!$Z$2:$Z$301,$A31))</f>
        <v/>
      </c>
      <c r="H31" s="39">
        <f>IF($A31="","",INDEX('Stock list'!$L$2:$L$301,$A31))</f>
        <v/>
      </c>
      <c r="I31" s="39">
        <f>IF($A31="","",INDEX('Stock list'!$AB$2:$AB$301,$A31))</f>
        <v/>
      </c>
      <c r="J31" s="30">
        <f>IF($A31="","",INDEX('Stock list'!$B$2:$B$301,$A31))</f>
        <v/>
      </c>
      <c r="K31" s="43">
        <f>IF($A31="","",INDEX('Stock list'!$N$2:$N$301,$A31)&amp;"")</f>
        <v/>
      </c>
      <c r="L31" s="43">
        <f>IF($A31="","",INDEX('Stock list'!$A$2:$A$301,$A31)&amp;" (cat. "&amp;INDEX('Stock list'!$I$2:$I$301,$A31)&amp;"), "&amp;INDEX('Stock list'!$Z$2:$Z$301,$A31)&amp;" × "&amp;INDEX('Stock list'!$J$2:$J$301,$A31)&amp;", "&amp;Settings!$C$11&amp;TEXT(INDEX('Stock list'!$AB$2:$AB$301,$A31),"#,##0.00"))</f>
        <v/>
      </c>
    </row>
    <row r="32">
      <c r="A32" s="42">
        <f>IFERROR(MATCH(28,'Stock list'!$AG$2:$AG$301,0),"")</f>
        <v/>
      </c>
      <c r="B32" s="43">
        <f>IF($A32="","",28)</f>
        <v/>
      </c>
      <c r="C32" s="43">
        <f>IF($A32="","",INDEX('Stock list'!$H$2:$H$301,$A32))</f>
        <v/>
      </c>
      <c r="D32" s="43">
        <f>IF($A32="","",INDEX('Stock list'!$A$2:$A$301,$A32))</f>
        <v/>
      </c>
      <c r="E32" s="43">
        <f>IF($A32="","",INDEX('Stock list'!$I$2:$I$301,$A32)&amp;"")</f>
        <v/>
      </c>
      <c r="F32" s="43">
        <f>IF($A32="","",INDEX('Stock list'!$J$2:$J$301,$A32)&amp;"")</f>
        <v/>
      </c>
      <c r="G32" s="32">
        <f>IF($A32="","",INDEX('Stock list'!$Z$2:$Z$301,$A32))</f>
        <v/>
      </c>
      <c r="H32" s="39">
        <f>IF($A32="","",INDEX('Stock list'!$L$2:$L$301,$A32))</f>
        <v/>
      </c>
      <c r="I32" s="39">
        <f>IF($A32="","",INDEX('Stock list'!$AB$2:$AB$301,$A32))</f>
        <v/>
      </c>
      <c r="J32" s="30">
        <f>IF($A32="","",INDEX('Stock list'!$B$2:$B$301,$A32))</f>
        <v/>
      </c>
      <c r="K32" s="43">
        <f>IF($A32="","",INDEX('Stock list'!$N$2:$N$301,$A32)&amp;"")</f>
        <v/>
      </c>
      <c r="L32" s="43">
        <f>IF($A32="","",INDEX('Stock list'!$A$2:$A$301,$A32)&amp;" (cat. "&amp;INDEX('Stock list'!$I$2:$I$301,$A32)&amp;"), "&amp;INDEX('Stock list'!$Z$2:$Z$301,$A32)&amp;" × "&amp;INDEX('Stock list'!$J$2:$J$301,$A32)&amp;", "&amp;Settings!$C$11&amp;TEXT(INDEX('Stock list'!$AB$2:$AB$301,$A32),"#,##0.00"))</f>
        <v/>
      </c>
    </row>
    <row r="33">
      <c r="A33" s="42">
        <f>IFERROR(MATCH(29,'Stock list'!$AG$2:$AG$301,0),"")</f>
        <v/>
      </c>
      <c r="B33" s="43">
        <f>IF($A33="","",29)</f>
        <v/>
      </c>
      <c r="C33" s="43">
        <f>IF($A33="","",INDEX('Stock list'!$H$2:$H$301,$A33))</f>
        <v/>
      </c>
      <c r="D33" s="43">
        <f>IF($A33="","",INDEX('Stock list'!$A$2:$A$301,$A33))</f>
        <v/>
      </c>
      <c r="E33" s="43">
        <f>IF($A33="","",INDEX('Stock list'!$I$2:$I$301,$A33)&amp;"")</f>
        <v/>
      </c>
      <c r="F33" s="43">
        <f>IF($A33="","",INDEX('Stock list'!$J$2:$J$301,$A33)&amp;"")</f>
        <v/>
      </c>
      <c r="G33" s="32">
        <f>IF($A33="","",INDEX('Stock list'!$Z$2:$Z$301,$A33))</f>
        <v/>
      </c>
      <c r="H33" s="39">
        <f>IF($A33="","",INDEX('Stock list'!$L$2:$L$301,$A33))</f>
        <v/>
      </c>
      <c r="I33" s="39">
        <f>IF($A33="","",INDEX('Stock list'!$AB$2:$AB$301,$A33))</f>
        <v/>
      </c>
      <c r="J33" s="30">
        <f>IF($A33="","",INDEX('Stock list'!$B$2:$B$301,$A33))</f>
        <v/>
      </c>
      <c r="K33" s="43">
        <f>IF($A33="","",INDEX('Stock list'!$N$2:$N$301,$A33)&amp;"")</f>
        <v/>
      </c>
      <c r="L33" s="43">
        <f>IF($A33="","",INDEX('Stock list'!$A$2:$A$301,$A33)&amp;" (cat. "&amp;INDEX('Stock list'!$I$2:$I$301,$A33)&amp;"), "&amp;INDEX('Stock list'!$Z$2:$Z$301,$A33)&amp;" × "&amp;INDEX('Stock list'!$J$2:$J$301,$A33)&amp;", "&amp;Settings!$C$11&amp;TEXT(INDEX('Stock list'!$AB$2:$AB$301,$A33),"#,##0.00"))</f>
        <v/>
      </c>
    </row>
    <row r="34">
      <c r="A34" s="42">
        <f>IFERROR(MATCH(30,'Stock list'!$AG$2:$AG$301,0),"")</f>
        <v/>
      </c>
      <c r="B34" s="43">
        <f>IF($A34="","",30)</f>
        <v/>
      </c>
      <c r="C34" s="43">
        <f>IF($A34="","",INDEX('Stock list'!$H$2:$H$301,$A34))</f>
        <v/>
      </c>
      <c r="D34" s="43">
        <f>IF($A34="","",INDEX('Stock list'!$A$2:$A$301,$A34))</f>
        <v/>
      </c>
      <c r="E34" s="43">
        <f>IF($A34="","",INDEX('Stock list'!$I$2:$I$301,$A34)&amp;"")</f>
        <v/>
      </c>
      <c r="F34" s="43">
        <f>IF($A34="","",INDEX('Stock list'!$J$2:$J$301,$A34)&amp;"")</f>
        <v/>
      </c>
      <c r="G34" s="32">
        <f>IF($A34="","",INDEX('Stock list'!$Z$2:$Z$301,$A34))</f>
        <v/>
      </c>
      <c r="H34" s="39">
        <f>IF($A34="","",INDEX('Stock list'!$L$2:$L$301,$A34))</f>
        <v/>
      </c>
      <c r="I34" s="39">
        <f>IF($A34="","",INDEX('Stock list'!$AB$2:$AB$301,$A34))</f>
        <v/>
      </c>
      <c r="J34" s="30">
        <f>IF($A34="","",INDEX('Stock list'!$B$2:$B$301,$A34))</f>
        <v/>
      </c>
      <c r="K34" s="43">
        <f>IF($A34="","",INDEX('Stock list'!$N$2:$N$301,$A34)&amp;"")</f>
        <v/>
      </c>
      <c r="L34" s="43">
        <f>IF($A34="","",INDEX('Stock list'!$A$2:$A$301,$A34)&amp;" (cat. "&amp;INDEX('Stock list'!$I$2:$I$301,$A34)&amp;"), "&amp;INDEX('Stock list'!$Z$2:$Z$301,$A34)&amp;" × "&amp;INDEX('Stock list'!$J$2:$J$301,$A34)&amp;", "&amp;Settings!$C$11&amp;TEXT(INDEX('Stock list'!$AB$2:$AB$301,$A34),"#,##0.00"))</f>
        <v/>
      </c>
    </row>
    <row r="35">
      <c r="A35" s="42">
        <f>IFERROR(MATCH(31,'Stock list'!$AG$2:$AG$301,0),"")</f>
        <v/>
      </c>
      <c r="B35" s="43">
        <f>IF($A35="","",31)</f>
        <v/>
      </c>
      <c r="C35" s="43">
        <f>IF($A35="","",INDEX('Stock list'!$H$2:$H$301,$A35))</f>
        <v/>
      </c>
      <c r="D35" s="43">
        <f>IF($A35="","",INDEX('Stock list'!$A$2:$A$301,$A35))</f>
        <v/>
      </c>
      <c r="E35" s="43">
        <f>IF($A35="","",INDEX('Stock list'!$I$2:$I$301,$A35)&amp;"")</f>
        <v/>
      </c>
      <c r="F35" s="43">
        <f>IF($A35="","",INDEX('Stock list'!$J$2:$J$301,$A35)&amp;"")</f>
        <v/>
      </c>
      <c r="G35" s="32">
        <f>IF($A35="","",INDEX('Stock list'!$Z$2:$Z$301,$A35))</f>
        <v/>
      </c>
      <c r="H35" s="39">
        <f>IF($A35="","",INDEX('Stock list'!$L$2:$L$301,$A35))</f>
        <v/>
      </c>
      <c r="I35" s="39">
        <f>IF($A35="","",INDEX('Stock list'!$AB$2:$AB$301,$A35))</f>
        <v/>
      </c>
      <c r="J35" s="30">
        <f>IF($A35="","",INDEX('Stock list'!$B$2:$B$301,$A35))</f>
        <v/>
      </c>
      <c r="K35" s="43">
        <f>IF($A35="","",INDEX('Stock list'!$N$2:$N$301,$A35)&amp;"")</f>
        <v/>
      </c>
      <c r="L35" s="43">
        <f>IF($A35="","",INDEX('Stock list'!$A$2:$A$301,$A35)&amp;" (cat. "&amp;INDEX('Stock list'!$I$2:$I$301,$A35)&amp;"), "&amp;INDEX('Stock list'!$Z$2:$Z$301,$A35)&amp;" × "&amp;INDEX('Stock list'!$J$2:$J$301,$A35)&amp;", "&amp;Settings!$C$11&amp;TEXT(INDEX('Stock list'!$AB$2:$AB$301,$A35),"#,##0.00"))</f>
        <v/>
      </c>
    </row>
    <row r="36">
      <c r="A36" s="42">
        <f>IFERROR(MATCH(32,'Stock list'!$AG$2:$AG$301,0),"")</f>
        <v/>
      </c>
      <c r="B36" s="43">
        <f>IF($A36="","",32)</f>
        <v/>
      </c>
      <c r="C36" s="43">
        <f>IF($A36="","",INDEX('Stock list'!$H$2:$H$301,$A36))</f>
        <v/>
      </c>
      <c r="D36" s="43">
        <f>IF($A36="","",INDEX('Stock list'!$A$2:$A$301,$A36))</f>
        <v/>
      </c>
      <c r="E36" s="43">
        <f>IF($A36="","",INDEX('Stock list'!$I$2:$I$301,$A36)&amp;"")</f>
        <v/>
      </c>
      <c r="F36" s="43">
        <f>IF($A36="","",INDEX('Stock list'!$J$2:$J$301,$A36)&amp;"")</f>
        <v/>
      </c>
      <c r="G36" s="32">
        <f>IF($A36="","",INDEX('Stock list'!$Z$2:$Z$301,$A36))</f>
        <v/>
      </c>
      <c r="H36" s="39">
        <f>IF($A36="","",INDEX('Stock list'!$L$2:$L$301,$A36))</f>
        <v/>
      </c>
      <c r="I36" s="39">
        <f>IF($A36="","",INDEX('Stock list'!$AB$2:$AB$301,$A36))</f>
        <v/>
      </c>
      <c r="J36" s="30">
        <f>IF($A36="","",INDEX('Stock list'!$B$2:$B$301,$A36))</f>
        <v/>
      </c>
      <c r="K36" s="43">
        <f>IF($A36="","",INDEX('Stock list'!$N$2:$N$301,$A36)&amp;"")</f>
        <v/>
      </c>
      <c r="L36" s="43">
        <f>IF($A36="","",INDEX('Stock list'!$A$2:$A$301,$A36)&amp;" (cat. "&amp;INDEX('Stock list'!$I$2:$I$301,$A36)&amp;"), "&amp;INDEX('Stock list'!$Z$2:$Z$301,$A36)&amp;" × "&amp;INDEX('Stock list'!$J$2:$J$301,$A36)&amp;", "&amp;Settings!$C$11&amp;TEXT(INDEX('Stock list'!$AB$2:$AB$301,$A36),"#,##0.00"))</f>
        <v/>
      </c>
    </row>
    <row r="37">
      <c r="A37" s="42">
        <f>IFERROR(MATCH(33,'Stock list'!$AG$2:$AG$301,0),"")</f>
        <v/>
      </c>
      <c r="B37" s="43">
        <f>IF($A37="","",33)</f>
        <v/>
      </c>
      <c r="C37" s="43">
        <f>IF($A37="","",INDEX('Stock list'!$H$2:$H$301,$A37))</f>
        <v/>
      </c>
      <c r="D37" s="43">
        <f>IF($A37="","",INDEX('Stock list'!$A$2:$A$301,$A37))</f>
        <v/>
      </c>
      <c r="E37" s="43">
        <f>IF($A37="","",INDEX('Stock list'!$I$2:$I$301,$A37)&amp;"")</f>
        <v/>
      </c>
      <c r="F37" s="43">
        <f>IF($A37="","",INDEX('Stock list'!$J$2:$J$301,$A37)&amp;"")</f>
        <v/>
      </c>
      <c r="G37" s="32">
        <f>IF($A37="","",INDEX('Stock list'!$Z$2:$Z$301,$A37))</f>
        <v/>
      </c>
      <c r="H37" s="39">
        <f>IF($A37="","",INDEX('Stock list'!$L$2:$L$301,$A37))</f>
        <v/>
      </c>
      <c r="I37" s="39">
        <f>IF($A37="","",INDEX('Stock list'!$AB$2:$AB$301,$A37))</f>
        <v/>
      </c>
      <c r="J37" s="30">
        <f>IF($A37="","",INDEX('Stock list'!$B$2:$B$301,$A37))</f>
        <v/>
      </c>
      <c r="K37" s="43">
        <f>IF($A37="","",INDEX('Stock list'!$N$2:$N$301,$A37)&amp;"")</f>
        <v/>
      </c>
      <c r="L37" s="43">
        <f>IF($A37="","",INDEX('Stock list'!$A$2:$A$301,$A37)&amp;" (cat. "&amp;INDEX('Stock list'!$I$2:$I$301,$A37)&amp;"), "&amp;INDEX('Stock list'!$Z$2:$Z$301,$A37)&amp;" × "&amp;INDEX('Stock list'!$J$2:$J$301,$A37)&amp;", "&amp;Settings!$C$11&amp;TEXT(INDEX('Stock list'!$AB$2:$AB$301,$A37),"#,##0.00"))</f>
        <v/>
      </c>
    </row>
    <row r="38">
      <c r="A38" s="42">
        <f>IFERROR(MATCH(34,'Stock list'!$AG$2:$AG$301,0),"")</f>
        <v/>
      </c>
      <c r="B38" s="43">
        <f>IF($A38="","",34)</f>
        <v/>
      </c>
      <c r="C38" s="43">
        <f>IF($A38="","",INDEX('Stock list'!$H$2:$H$301,$A38))</f>
        <v/>
      </c>
      <c r="D38" s="43">
        <f>IF($A38="","",INDEX('Stock list'!$A$2:$A$301,$A38))</f>
        <v/>
      </c>
      <c r="E38" s="43">
        <f>IF($A38="","",INDEX('Stock list'!$I$2:$I$301,$A38)&amp;"")</f>
        <v/>
      </c>
      <c r="F38" s="43">
        <f>IF($A38="","",INDEX('Stock list'!$J$2:$J$301,$A38)&amp;"")</f>
        <v/>
      </c>
      <c r="G38" s="32">
        <f>IF($A38="","",INDEX('Stock list'!$Z$2:$Z$301,$A38))</f>
        <v/>
      </c>
      <c r="H38" s="39">
        <f>IF($A38="","",INDEX('Stock list'!$L$2:$L$301,$A38))</f>
        <v/>
      </c>
      <c r="I38" s="39">
        <f>IF($A38="","",INDEX('Stock list'!$AB$2:$AB$301,$A38))</f>
        <v/>
      </c>
      <c r="J38" s="30">
        <f>IF($A38="","",INDEX('Stock list'!$B$2:$B$301,$A38))</f>
        <v/>
      </c>
      <c r="K38" s="43">
        <f>IF($A38="","",INDEX('Stock list'!$N$2:$N$301,$A38)&amp;"")</f>
        <v/>
      </c>
      <c r="L38" s="43">
        <f>IF($A38="","",INDEX('Stock list'!$A$2:$A$301,$A38)&amp;" (cat. "&amp;INDEX('Stock list'!$I$2:$I$301,$A38)&amp;"), "&amp;INDEX('Stock list'!$Z$2:$Z$301,$A38)&amp;" × "&amp;INDEX('Stock list'!$J$2:$J$301,$A38)&amp;", "&amp;Settings!$C$11&amp;TEXT(INDEX('Stock list'!$AB$2:$AB$301,$A38),"#,##0.00"))</f>
        <v/>
      </c>
    </row>
    <row r="39">
      <c r="A39" s="42">
        <f>IFERROR(MATCH(35,'Stock list'!$AG$2:$AG$301,0),"")</f>
        <v/>
      </c>
      <c r="B39" s="43">
        <f>IF($A39="","",35)</f>
        <v/>
      </c>
      <c r="C39" s="43">
        <f>IF($A39="","",INDEX('Stock list'!$H$2:$H$301,$A39))</f>
        <v/>
      </c>
      <c r="D39" s="43">
        <f>IF($A39="","",INDEX('Stock list'!$A$2:$A$301,$A39))</f>
        <v/>
      </c>
      <c r="E39" s="43">
        <f>IF($A39="","",INDEX('Stock list'!$I$2:$I$301,$A39)&amp;"")</f>
        <v/>
      </c>
      <c r="F39" s="43">
        <f>IF($A39="","",INDEX('Stock list'!$J$2:$J$301,$A39)&amp;"")</f>
        <v/>
      </c>
      <c r="G39" s="32">
        <f>IF($A39="","",INDEX('Stock list'!$Z$2:$Z$301,$A39))</f>
        <v/>
      </c>
      <c r="H39" s="39">
        <f>IF($A39="","",INDEX('Stock list'!$L$2:$L$301,$A39))</f>
        <v/>
      </c>
      <c r="I39" s="39">
        <f>IF($A39="","",INDEX('Stock list'!$AB$2:$AB$301,$A39))</f>
        <v/>
      </c>
      <c r="J39" s="30">
        <f>IF($A39="","",INDEX('Stock list'!$B$2:$B$301,$A39))</f>
        <v/>
      </c>
      <c r="K39" s="43">
        <f>IF($A39="","",INDEX('Stock list'!$N$2:$N$301,$A39)&amp;"")</f>
        <v/>
      </c>
      <c r="L39" s="43">
        <f>IF($A39="","",INDEX('Stock list'!$A$2:$A$301,$A39)&amp;" (cat. "&amp;INDEX('Stock list'!$I$2:$I$301,$A39)&amp;"), "&amp;INDEX('Stock list'!$Z$2:$Z$301,$A39)&amp;" × "&amp;INDEX('Stock list'!$J$2:$J$301,$A39)&amp;", "&amp;Settings!$C$11&amp;TEXT(INDEX('Stock list'!$AB$2:$AB$301,$A39),"#,##0.00"))</f>
        <v/>
      </c>
    </row>
    <row r="40">
      <c r="A40" s="42">
        <f>IFERROR(MATCH(36,'Stock list'!$AG$2:$AG$301,0),"")</f>
        <v/>
      </c>
      <c r="B40" s="43">
        <f>IF($A40="","",36)</f>
        <v/>
      </c>
      <c r="C40" s="43">
        <f>IF($A40="","",INDEX('Stock list'!$H$2:$H$301,$A40))</f>
        <v/>
      </c>
      <c r="D40" s="43">
        <f>IF($A40="","",INDEX('Stock list'!$A$2:$A$301,$A40))</f>
        <v/>
      </c>
      <c r="E40" s="43">
        <f>IF($A40="","",INDEX('Stock list'!$I$2:$I$301,$A40)&amp;"")</f>
        <v/>
      </c>
      <c r="F40" s="43">
        <f>IF($A40="","",INDEX('Stock list'!$J$2:$J$301,$A40)&amp;"")</f>
        <v/>
      </c>
      <c r="G40" s="32">
        <f>IF($A40="","",INDEX('Stock list'!$Z$2:$Z$301,$A40))</f>
        <v/>
      </c>
      <c r="H40" s="39">
        <f>IF($A40="","",INDEX('Stock list'!$L$2:$L$301,$A40))</f>
        <v/>
      </c>
      <c r="I40" s="39">
        <f>IF($A40="","",INDEX('Stock list'!$AB$2:$AB$301,$A40))</f>
        <v/>
      </c>
      <c r="J40" s="30">
        <f>IF($A40="","",INDEX('Stock list'!$B$2:$B$301,$A40))</f>
        <v/>
      </c>
      <c r="K40" s="43">
        <f>IF($A40="","",INDEX('Stock list'!$N$2:$N$301,$A40)&amp;"")</f>
        <v/>
      </c>
      <c r="L40" s="43">
        <f>IF($A40="","",INDEX('Stock list'!$A$2:$A$301,$A40)&amp;" (cat. "&amp;INDEX('Stock list'!$I$2:$I$301,$A40)&amp;"), "&amp;INDEX('Stock list'!$Z$2:$Z$301,$A40)&amp;" × "&amp;INDEX('Stock list'!$J$2:$J$301,$A40)&amp;", "&amp;Settings!$C$11&amp;TEXT(INDEX('Stock list'!$AB$2:$AB$301,$A40),"#,##0.00"))</f>
        <v/>
      </c>
    </row>
    <row r="41">
      <c r="A41" s="42">
        <f>IFERROR(MATCH(37,'Stock list'!$AG$2:$AG$301,0),"")</f>
        <v/>
      </c>
      <c r="B41" s="43">
        <f>IF($A41="","",37)</f>
        <v/>
      </c>
      <c r="C41" s="43">
        <f>IF($A41="","",INDEX('Stock list'!$H$2:$H$301,$A41))</f>
        <v/>
      </c>
      <c r="D41" s="43">
        <f>IF($A41="","",INDEX('Stock list'!$A$2:$A$301,$A41))</f>
        <v/>
      </c>
      <c r="E41" s="43">
        <f>IF($A41="","",INDEX('Stock list'!$I$2:$I$301,$A41)&amp;"")</f>
        <v/>
      </c>
      <c r="F41" s="43">
        <f>IF($A41="","",INDEX('Stock list'!$J$2:$J$301,$A41)&amp;"")</f>
        <v/>
      </c>
      <c r="G41" s="32">
        <f>IF($A41="","",INDEX('Stock list'!$Z$2:$Z$301,$A41))</f>
        <v/>
      </c>
      <c r="H41" s="39">
        <f>IF($A41="","",INDEX('Stock list'!$L$2:$L$301,$A41))</f>
        <v/>
      </c>
      <c r="I41" s="39">
        <f>IF($A41="","",INDEX('Stock list'!$AB$2:$AB$301,$A41))</f>
        <v/>
      </c>
      <c r="J41" s="30">
        <f>IF($A41="","",INDEX('Stock list'!$B$2:$B$301,$A41))</f>
        <v/>
      </c>
      <c r="K41" s="43">
        <f>IF($A41="","",INDEX('Stock list'!$N$2:$N$301,$A41)&amp;"")</f>
        <v/>
      </c>
      <c r="L41" s="43">
        <f>IF($A41="","",INDEX('Stock list'!$A$2:$A$301,$A41)&amp;" (cat. "&amp;INDEX('Stock list'!$I$2:$I$301,$A41)&amp;"), "&amp;INDEX('Stock list'!$Z$2:$Z$301,$A41)&amp;" × "&amp;INDEX('Stock list'!$J$2:$J$301,$A41)&amp;", "&amp;Settings!$C$11&amp;TEXT(INDEX('Stock list'!$AB$2:$AB$301,$A41),"#,##0.00"))</f>
        <v/>
      </c>
    </row>
    <row r="42">
      <c r="A42" s="42">
        <f>IFERROR(MATCH(38,'Stock list'!$AG$2:$AG$301,0),"")</f>
        <v/>
      </c>
      <c r="B42" s="43">
        <f>IF($A42="","",38)</f>
        <v/>
      </c>
      <c r="C42" s="43">
        <f>IF($A42="","",INDEX('Stock list'!$H$2:$H$301,$A42))</f>
        <v/>
      </c>
      <c r="D42" s="43">
        <f>IF($A42="","",INDEX('Stock list'!$A$2:$A$301,$A42))</f>
        <v/>
      </c>
      <c r="E42" s="43">
        <f>IF($A42="","",INDEX('Stock list'!$I$2:$I$301,$A42)&amp;"")</f>
        <v/>
      </c>
      <c r="F42" s="43">
        <f>IF($A42="","",INDEX('Stock list'!$J$2:$J$301,$A42)&amp;"")</f>
        <v/>
      </c>
      <c r="G42" s="32">
        <f>IF($A42="","",INDEX('Stock list'!$Z$2:$Z$301,$A42))</f>
        <v/>
      </c>
      <c r="H42" s="39">
        <f>IF($A42="","",INDEX('Stock list'!$L$2:$L$301,$A42))</f>
        <v/>
      </c>
      <c r="I42" s="39">
        <f>IF($A42="","",INDEX('Stock list'!$AB$2:$AB$301,$A42))</f>
        <v/>
      </c>
      <c r="J42" s="30">
        <f>IF($A42="","",INDEX('Stock list'!$B$2:$B$301,$A42))</f>
        <v/>
      </c>
      <c r="K42" s="43">
        <f>IF($A42="","",INDEX('Stock list'!$N$2:$N$301,$A42)&amp;"")</f>
        <v/>
      </c>
      <c r="L42" s="43">
        <f>IF($A42="","",INDEX('Stock list'!$A$2:$A$301,$A42)&amp;" (cat. "&amp;INDEX('Stock list'!$I$2:$I$301,$A42)&amp;"), "&amp;INDEX('Stock list'!$Z$2:$Z$301,$A42)&amp;" × "&amp;INDEX('Stock list'!$J$2:$J$301,$A42)&amp;", "&amp;Settings!$C$11&amp;TEXT(INDEX('Stock list'!$AB$2:$AB$301,$A42),"#,##0.00"))</f>
        <v/>
      </c>
    </row>
    <row r="43">
      <c r="A43" s="42">
        <f>IFERROR(MATCH(39,'Stock list'!$AG$2:$AG$301,0),"")</f>
        <v/>
      </c>
      <c r="B43" s="43">
        <f>IF($A43="","",39)</f>
        <v/>
      </c>
      <c r="C43" s="43">
        <f>IF($A43="","",INDEX('Stock list'!$H$2:$H$301,$A43))</f>
        <v/>
      </c>
      <c r="D43" s="43">
        <f>IF($A43="","",INDEX('Stock list'!$A$2:$A$301,$A43))</f>
        <v/>
      </c>
      <c r="E43" s="43">
        <f>IF($A43="","",INDEX('Stock list'!$I$2:$I$301,$A43)&amp;"")</f>
        <v/>
      </c>
      <c r="F43" s="43">
        <f>IF($A43="","",INDEX('Stock list'!$J$2:$J$301,$A43)&amp;"")</f>
        <v/>
      </c>
      <c r="G43" s="32">
        <f>IF($A43="","",INDEX('Stock list'!$Z$2:$Z$301,$A43))</f>
        <v/>
      </c>
      <c r="H43" s="39">
        <f>IF($A43="","",INDEX('Stock list'!$L$2:$L$301,$A43))</f>
        <v/>
      </c>
      <c r="I43" s="39">
        <f>IF($A43="","",INDEX('Stock list'!$AB$2:$AB$301,$A43))</f>
        <v/>
      </c>
      <c r="J43" s="30">
        <f>IF($A43="","",INDEX('Stock list'!$B$2:$B$301,$A43))</f>
        <v/>
      </c>
      <c r="K43" s="43">
        <f>IF($A43="","",INDEX('Stock list'!$N$2:$N$301,$A43)&amp;"")</f>
        <v/>
      </c>
      <c r="L43" s="43">
        <f>IF($A43="","",INDEX('Stock list'!$A$2:$A$301,$A43)&amp;" (cat. "&amp;INDEX('Stock list'!$I$2:$I$301,$A43)&amp;"), "&amp;INDEX('Stock list'!$Z$2:$Z$301,$A43)&amp;" × "&amp;INDEX('Stock list'!$J$2:$J$301,$A43)&amp;", "&amp;Settings!$C$11&amp;TEXT(INDEX('Stock list'!$AB$2:$AB$301,$A43),"#,##0.00"))</f>
        <v/>
      </c>
    </row>
    <row r="44">
      <c r="A44" s="42">
        <f>IFERROR(MATCH(40,'Stock list'!$AG$2:$AG$301,0),"")</f>
        <v/>
      </c>
      <c r="B44" s="43">
        <f>IF($A44="","",40)</f>
        <v/>
      </c>
      <c r="C44" s="43">
        <f>IF($A44="","",INDEX('Stock list'!$H$2:$H$301,$A44))</f>
        <v/>
      </c>
      <c r="D44" s="43">
        <f>IF($A44="","",INDEX('Stock list'!$A$2:$A$301,$A44))</f>
        <v/>
      </c>
      <c r="E44" s="43">
        <f>IF($A44="","",INDEX('Stock list'!$I$2:$I$301,$A44)&amp;"")</f>
        <v/>
      </c>
      <c r="F44" s="43">
        <f>IF($A44="","",INDEX('Stock list'!$J$2:$J$301,$A44)&amp;"")</f>
        <v/>
      </c>
      <c r="G44" s="32">
        <f>IF($A44="","",INDEX('Stock list'!$Z$2:$Z$301,$A44))</f>
        <v/>
      </c>
      <c r="H44" s="39">
        <f>IF($A44="","",INDEX('Stock list'!$L$2:$L$301,$A44))</f>
        <v/>
      </c>
      <c r="I44" s="39">
        <f>IF($A44="","",INDEX('Stock list'!$AB$2:$AB$301,$A44))</f>
        <v/>
      </c>
      <c r="J44" s="30">
        <f>IF($A44="","",INDEX('Stock list'!$B$2:$B$301,$A44))</f>
        <v/>
      </c>
      <c r="K44" s="43">
        <f>IF($A44="","",INDEX('Stock list'!$N$2:$N$301,$A44)&amp;"")</f>
        <v/>
      </c>
      <c r="L44" s="43">
        <f>IF($A44="","",INDEX('Stock list'!$A$2:$A$301,$A44)&amp;" (cat. "&amp;INDEX('Stock list'!$I$2:$I$301,$A44)&amp;"), "&amp;INDEX('Stock list'!$Z$2:$Z$301,$A44)&amp;" × "&amp;INDEX('Stock list'!$J$2:$J$301,$A44)&amp;", "&amp;Settings!$C$11&amp;TEXT(INDEX('Stock list'!$AB$2:$AB$301,$A44),"#,##0.00"))</f>
        <v/>
      </c>
    </row>
    <row r="45">
      <c r="A45" s="42">
        <f>IFERROR(MATCH(41,'Stock list'!$AG$2:$AG$301,0),"")</f>
        <v/>
      </c>
      <c r="B45" s="43">
        <f>IF($A45="","",41)</f>
        <v/>
      </c>
      <c r="C45" s="43">
        <f>IF($A45="","",INDEX('Stock list'!$H$2:$H$301,$A45))</f>
        <v/>
      </c>
      <c r="D45" s="43">
        <f>IF($A45="","",INDEX('Stock list'!$A$2:$A$301,$A45))</f>
        <v/>
      </c>
      <c r="E45" s="43">
        <f>IF($A45="","",INDEX('Stock list'!$I$2:$I$301,$A45)&amp;"")</f>
        <v/>
      </c>
      <c r="F45" s="43">
        <f>IF($A45="","",INDEX('Stock list'!$J$2:$J$301,$A45)&amp;"")</f>
        <v/>
      </c>
      <c r="G45" s="32">
        <f>IF($A45="","",INDEX('Stock list'!$Z$2:$Z$301,$A45))</f>
        <v/>
      </c>
      <c r="H45" s="39">
        <f>IF($A45="","",INDEX('Stock list'!$L$2:$L$301,$A45))</f>
        <v/>
      </c>
      <c r="I45" s="39">
        <f>IF($A45="","",INDEX('Stock list'!$AB$2:$AB$301,$A45))</f>
        <v/>
      </c>
      <c r="J45" s="30">
        <f>IF($A45="","",INDEX('Stock list'!$B$2:$B$301,$A45))</f>
        <v/>
      </c>
      <c r="K45" s="43">
        <f>IF($A45="","",INDEX('Stock list'!$N$2:$N$301,$A45)&amp;"")</f>
        <v/>
      </c>
      <c r="L45" s="43">
        <f>IF($A45="","",INDEX('Stock list'!$A$2:$A$301,$A45)&amp;" (cat. "&amp;INDEX('Stock list'!$I$2:$I$301,$A45)&amp;"), "&amp;INDEX('Stock list'!$Z$2:$Z$301,$A45)&amp;" × "&amp;INDEX('Stock list'!$J$2:$J$301,$A45)&amp;", "&amp;Settings!$C$11&amp;TEXT(INDEX('Stock list'!$AB$2:$AB$301,$A45),"#,##0.00"))</f>
        <v/>
      </c>
    </row>
    <row r="46">
      <c r="A46" s="42">
        <f>IFERROR(MATCH(42,'Stock list'!$AG$2:$AG$301,0),"")</f>
        <v/>
      </c>
      <c r="B46" s="43">
        <f>IF($A46="","",42)</f>
        <v/>
      </c>
      <c r="C46" s="43">
        <f>IF($A46="","",INDEX('Stock list'!$H$2:$H$301,$A46))</f>
        <v/>
      </c>
      <c r="D46" s="43">
        <f>IF($A46="","",INDEX('Stock list'!$A$2:$A$301,$A46))</f>
        <v/>
      </c>
      <c r="E46" s="43">
        <f>IF($A46="","",INDEX('Stock list'!$I$2:$I$301,$A46)&amp;"")</f>
        <v/>
      </c>
      <c r="F46" s="43">
        <f>IF($A46="","",INDEX('Stock list'!$J$2:$J$301,$A46)&amp;"")</f>
        <v/>
      </c>
      <c r="G46" s="32">
        <f>IF($A46="","",INDEX('Stock list'!$Z$2:$Z$301,$A46))</f>
        <v/>
      </c>
      <c r="H46" s="39">
        <f>IF($A46="","",INDEX('Stock list'!$L$2:$L$301,$A46))</f>
        <v/>
      </c>
      <c r="I46" s="39">
        <f>IF($A46="","",INDEX('Stock list'!$AB$2:$AB$301,$A46))</f>
        <v/>
      </c>
      <c r="J46" s="30">
        <f>IF($A46="","",INDEX('Stock list'!$B$2:$B$301,$A46))</f>
        <v/>
      </c>
      <c r="K46" s="43">
        <f>IF($A46="","",INDEX('Stock list'!$N$2:$N$301,$A46)&amp;"")</f>
        <v/>
      </c>
      <c r="L46" s="43">
        <f>IF($A46="","",INDEX('Stock list'!$A$2:$A$301,$A46)&amp;" (cat. "&amp;INDEX('Stock list'!$I$2:$I$301,$A46)&amp;"), "&amp;INDEX('Stock list'!$Z$2:$Z$301,$A46)&amp;" × "&amp;INDEX('Stock list'!$J$2:$J$301,$A46)&amp;", "&amp;Settings!$C$11&amp;TEXT(INDEX('Stock list'!$AB$2:$AB$301,$A46),"#,##0.00"))</f>
        <v/>
      </c>
    </row>
    <row r="47">
      <c r="A47" s="42">
        <f>IFERROR(MATCH(43,'Stock list'!$AG$2:$AG$301,0),"")</f>
        <v/>
      </c>
      <c r="B47" s="43">
        <f>IF($A47="","",43)</f>
        <v/>
      </c>
      <c r="C47" s="43">
        <f>IF($A47="","",INDEX('Stock list'!$H$2:$H$301,$A47))</f>
        <v/>
      </c>
      <c r="D47" s="43">
        <f>IF($A47="","",INDEX('Stock list'!$A$2:$A$301,$A47))</f>
        <v/>
      </c>
      <c r="E47" s="43">
        <f>IF($A47="","",INDEX('Stock list'!$I$2:$I$301,$A47)&amp;"")</f>
        <v/>
      </c>
      <c r="F47" s="43">
        <f>IF($A47="","",INDEX('Stock list'!$J$2:$J$301,$A47)&amp;"")</f>
        <v/>
      </c>
      <c r="G47" s="32">
        <f>IF($A47="","",INDEX('Stock list'!$Z$2:$Z$301,$A47))</f>
        <v/>
      </c>
      <c r="H47" s="39">
        <f>IF($A47="","",INDEX('Stock list'!$L$2:$L$301,$A47))</f>
        <v/>
      </c>
      <c r="I47" s="39">
        <f>IF($A47="","",INDEX('Stock list'!$AB$2:$AB$301,$A47))</f>
        <v/>
      </c>
      <c r="J47" s="30">
        <f>IF($A47="","",INDEX('Stock list'!$B$2:$B$301,$A47))</f>
        <v/>
      </c>
      <c r="K47" s="43">
        <f>IF($A47="","",INDEX('Stock list'!$N$2:$N$301,$A47)&amp;"")</f>
        <v/>
      </c>
      <c r="L47" s="43">
        <f>IF($A47="","",INDEX('Stock list'!$A$2:$A$301,$A47)&amp;" (cat. "&amp;INDEX('Stock list'!$I$2:$I$301,$A47)&amp;"), "&amp;INDEX('Stock list'!$Z$2:$Z$301,$A47)&amp;" × "&amp;INDEX('Stock list'!$J$2:$J$301,$A47)&amp;", "&amp;Settings!$C$11&amp;TEXT(INDEX('Stock list'!$AB$2:$AB$301,$A47),"#,##0.00"))</f>
        <v/>
      </c>
    </row>
    <row r="48">
      <c r="A48" s="42">
        <f>IFERROR(MATCH(44,'Stock list'!$AG$2:$AG$301,0),"")</f>
        <v/>
      </c>
      <c r="B48" s="43">
        <f>IF($A48="","",44)</f>
        <v/>
      </c>
      <c r="C48" s="43">
        <f>IF($A48="","",INDEX('Stock list'!$H$2:$H$301,$A48))</f>
        <v/>
      </c>
      <c r="D48" s="43">
        <f>IF($A48="","",INDEX('Stock list'!$A$2:$A$301,$A48))</f>
        <v/>
      </c>
      <c r="E48" s="43">
        <f>IF($A48="","",INDEX('Stock list'!$I$2:$I$301,$A48)&amp;"")</f>
        <v/>
      </c>
      <c r="F48" s="43">
        <f>IF($A48="","",INDEX('Stock list'!$J$2:$J$301,$A48)&amp;"")</f>
        <v/>
      </c>
      <c r="G48" s="32">
        <f>IF($A48="","",INDEX('Stock list'!$Z$2:$Z$301,$A48))</f>
        <v/>
      </c>
      <c r="H48" s="39">
        <f>IF($A48="","",INDEX('Stock list'!$L$2:$L$301,$A48))</f>
        <v/>
      </c>
      <c r="I48" s="39">
        <f>IF($A48="","",INDEX('Stock list'!$AB$2:$AB$301,$A48))</f>
        <v/>
      </c>
      <c r="J48" s="30">
        <f>IF($A48="","",INDEX('Stock list'!$B$2:$B$301,$A48))</f>
        <v/>
      </c>
      <c r="K48" s="43">
        <f>IF($A48="","",INDEX('Stock list'!$N$2:$N$301,$A48)&amp;"")</f>
        <v/>
      </c>
      <c r="L48" s="43">
        <f>IF($A48="","",INDEX('Stock list'!$A$2:$A$301,$A48)&amp;" (cat. "&amp;INDEX('Stock list'!$I$2:$I$301,$A48)&amp;"), "&amp;INDEX('Stock list'!$Z$2:$Z$301,$A48)&amp;" × "&amp;INDEX('Stock list'!$J$2:$J$301,$A48)&amp;", "&amp;Settings!$C$11&amp;TEXT(INDEX('Stock list'!$AB$2:$AB$301,$A48),"#,##0.00"))</f>
        <v/>
      </c>
    </row>
    <row r="49">
      <c r="A49" s="42">
        <f>IFERROR(MATCH(45,'Stock list'!$AG$2:$AG$301,0),"")</f>
        <v/>
      </c>
      <c r="B49" s="43">
        <f>IF($A49="","",45)</f>
        <v/>
      </c>
      <c r="C49" s="43">
        <f>IF($A49="","",INDEX('Stock list'!$H$2:$H$301,$A49))</f>
        <v/>
      </c>
      <c r="D49" s="43">
        <f>IF($A49="","",INDEX('Stock list'!$A$2:$A$301,$A49))</f>
        <v/>
      </c>
      <c r="E49" s="43">
        <f>IF($A49="","",INDEX('Stock list'!$I$2:$I$301,$A49)&amp;"")</f>
        <v/>
      </c>
      <c r="F49" s="43">
        <f>IF($A49="","",INDEX('Stock list'!$J$2:$J$301,$A49)&amp;"")</f>
        <v/>
      </c>
      <c r="G49" s="32">
        <f>IF($A49="","",INDEX('Stock list'!$Z$2:$Z$301,$A49))</f>
        <v/>
      </c>
      <c r="H49" s="39">
        <f>IF($A49="","",INDEX('Stock list'!$L$2:$L$301,$A49))</f>
        <v/>
      </c>
      <c r="I49" s="39">
        <f>IF($A49="","",INDEX('Stock list'!$AB$2:$AB$301,$A49))</f>
        <v/>
      </c>
      <c r="J49" s="30">
        <f>IF($A49="","",INDEX('Stock list'!$B$2:$B$301,$A49))</f>
        <v/>
      </c>
      <c r="K49" s="43">
        <f>IF($A49="","",INDEX('Stock list'!$N$2:$N$301,$A49)&amp;"")</f>
        <v/>
      </c>
      <c r="L49" s="43">
        <f>IF($A49="","",INDEX('Stock list'!$A$2:$A$301,$A49)&amp;" (cat. "&amp;INDEX('Stock list'!$I$2:$I$301,$A49)&amp;"), "&amp;INDEX('Stock list'!$Z$2:$Z$301,$A49)&amp;" × "&amp;INDEX('Stock list'!$J$2:$J$301,$A49)&amp;", "&amp;Settings!$C$11&amp;TEXT(INDEX('Stock list'!$AB$2:$AB$301,$A49),"#,##0.00"))</f>
        <v/>
      </c>
    </row>
    <row r="50">
      <c r="A50" s="42">
        <f>IFERROR(MATCH(46,'Stock list'!$AG$2:$AG$301,0),"")</f>
        <v/>
      </c>
      <c r="B50" s="43">
        <f>IF($A50="","",46)</f>
        <v/>
      </c>
      <c r="C50" s="43">
        <f>IF($A50="","",INDEX('Stock list'!$H$2:$H$301,$A50))</f>
        <v/>
      </c>
      <c r="D50" s="43">
        <f>IF($A50="","",INDEX('Stock list'!$A$2:$A$301,$A50))</f>
        <v/>
      </c>
      <c r="E50" s="43">
        <f>IF($A50="","",INDEX('Stock list'!$I$2:$I$301,$A50)&amp;"")</f>
        <v/>
      </c>
      <c r="F50" s="43">
        <f>IF($A50="","",INDEX('Stock list'!$J$2:$J$301,$A50)&amp;"")</f>
        <v/>
      </c>
      <c r="G50" s="32">
        <f>IF($A50="","",INDEX('Stock list'!$Z$2:$Z$301,$A50))</f>
        <v/>
      </c>
      <c r="H50" s="39">
        <f>IF($A50="","",INDEX('Stock list'!$L$2:$L$301,$A50))</f>
        <v/>
      </c>
      <c r="I50" s="39">
        <f>IF($A50="","",INDEX('Stock list'!$AB$2:$AB$301,$A50))</f>
        <v/>
      </c>
      <c r="J50" s="30">
        <f>IF($A50="","",INDEX('Stock list'!$B$2:$B$301,$A50))</f>
        <v/>
      </c>
      <c r="K50" s="43">
        <f>IF($A50="","",INDEX('Stock list'!$N$2:$N$301,$A50)&amp;"")</f>
        <v/>
      </c>
      <c r="L50" s="43">
        <f>IF($A50="","",INDEX('Stock list'!$A$2:$A$301,$A50)&amp;" (cat. "&amp;INDEX('Stock list'!$I$2:$I$301,$A50)&amp;"), "&amp;INDEX('Stock list'!$Z$2:$Z$301,$A50)&amp;" × "&amp;INDEX('Stock list'!$J$2:$J$301,$A50)&amp;", "&amp;Settings!$C$11&amp;TEXT(INDEX('Stock list'!$AB$2:$AB$301,$A50),"#,##0.00"))</f>
        <v/>
      </c>
    </row>
    <row r="51">
      <c r="A51" s="42">
        <f>IFERROR(MATCH(47,'Stock list'!$AG$2:$AG$301,0),"")</f>
        <v/>
      </c>
      <c r="B51" s="43">
        <f>IF($A51="","",47)</f>
        <v/>
      </c>
      <c r="C51" s="43">
        <f>IF($A51="","",INDEX('Stock list'!$H$2:$H$301,$A51))</f>
        <v/>
      </c>
      <c r="D51" s="43">
        <f>IF($A51="","",INDEX('Stock list'!$A$2:$A$301,$A51))</f>
        <v/>
      </c>
      <c r="E51" s="43">
        <f>IF($A51="","",INDEX('Stock list'!$I$2:$I$301,$A51)&amp;"")</f>
        <v/>
      </c>
      <c r="F51" s="43">
        <f>IF($A51="","",INDEX('Stock list'!$J$2:$J$301,$A51)&amp;"")</f>
        <v/>
      </c>
      <c r="G51" s="32">
        <f>IF($A51="","",INDEX('Stock list'!$Z$2:$Z$301,$A51))</f>
        <v/>
      </c>
      <c r="H51" s="39">
        <f>IF($A51="","",INDEX('Stock list'!$L$2:$L$301,$A51))</f>
        <v/>
      </c>
      <c r="I51" s="39">
        <f>IF($A51="","",INDEX('Stock list'!$AB$2:$AB$301,$A51))</f>
        <v/>
      </c>
      <c r="J51" s="30">
        <f>IF($A51="","",INDEX('Stock list'!$B$2:$B$301,$A51))</f>
        <v/>
      </c>
      <c r="K51" s="43">
        <f>IF($A51="","",INDEX('Stock list'!$N$2:$N$301,$A51)&amp;"")</f>
        <v/>
      </c>
      <c r="L51" s="43">
        <f>IF($A51="","",INDEX('Stock list'!$A$2:$A$301,$A51)&amp;" (cat. "&amp;INDEX('Stock list'!$I$2:$I$301,$A51)&amp;"), "&amp;INDEX('Stock list'!$Z$2:$Z$301,$A51)&amp;" × "&amp;INDEX('Stock list'!$J$2:$J$301,$A51)&amp;", "&amp;Settings!$C$11&amp;TEXT(INDEX('Stock list'!$AB$2:$AB$301,$A51),"#,##0.00"))</f>
        <v/>
      </c>
    </row>
    <row r="52">
      <c r="A52" s="42">
        <f>IFERROR(MATCH(48,'Stock list'!$AG$2:$AG$301,0),"")</f>
        <v/>
      </c>
      <c r="B52" s="43">
        <f>IF($A52="","",48)</f>
        <v/>
      </c>
      <c r="C52" s="43">
        <f>IF($A52="","",INDEX('Stock list'!$H$2:$H$301,$A52))</f>
        <v/>
      </c>
      <c r="D52" s="43">
        <f>IF($A52="","",INDEX('Stock list'!$A$2:$A$301,$A52))</f>
        <v/>
      </c>
      <c r="E52" s="43">
        <f>IF($A52="","",INDEX('Stock list'!$I$2:$I$301,$A52)&amp;"")</f>
        <v/>
      </c>
      <c r="F52" s="43">
        <f>IF($A52="","",INDEX('Stock list'!$J$2:$J$301,$A52)&amp;"")</f>
        <v/>
      </c>
      <c r="G52" s="32">
        <f>IF($A52="","",INDEX('Stock list'!$Z$2:$Z$301,$A52))</f>
        <v/>
      </c>
      <c r="H52" s="39">
        <f>IF($A52="","",INDEX('Stock list'!$L$2:$L$301,$A52))</f>
        <v/>
      </c>
      <c r="I52" s="39">
        <f>IF($A52="","",INDEX('Stock list'!$AB$2:$AB$301,$A52))</f>
        <v/>
      </c>
      <c r="J52" s="30">
        <f>IF($A52="","",INDEX('Stock list'!$B$2:$B$301,$A52))</f>
        <v/>
      </c>
      <c r="K52" s="43">
        <f>IF($A52="","",INDEX('Stock list'!$N$2:$N$301,$A52)&amp;"")</f>
        <v/>
      </c>
      <c r="L52" s="43">
        <f>IF($A52="","",INDEX('Stock list'!$A$2:$A$301,$A52)&amp;" (cat. "&amp;INDEX('Stock list'!$I$2:$I$301,$A52)&amp;"), "&amp;INDEX('Stock list'!$Z$2:$Z$301,$A52)&amp;" × "&amp;INDEX('Stock list'!$J$2:$J$301,$A52)&amp;", "&amp;Settings!$C$11&amp;TEXT(INDEX('Stock list'!$AB$2:$AB$301,$A52),"#,##0.00"))</f>
        <v/>
      </c>
    </row>
    <row r="53">
      <c r="A53" s="42">
        <f>IFERROR(MATCH(49,'Stock list'!$AG$2:$AG$301,0),"")</f>
        <v/>
      </c>
      <c r="B53" s="43">
        <f>IF($A53="","",49)</f>
        <v/>
      </c>
      <c r="C53" s="43">
        <f>IF($A53="","",INDEX('Stock list'!$H$2:$H$301,$A53))</f>
        <v/>
      </c>
      <c r="D53" s="43">
        <f>IF($A53="","",INDEX('Stock list'!$A$2:$A$301,$A53))</f>
        <v/>
      </c>
      <c r="E53" s="43">
        <f>IF($A53="","",INDEX('Stock list'!$I$2:$I$301,$A53)&amp;"")</f>
        <v/>
      </c>
      <c r="F53" s="43">
        <f>IF($A53="","",INDEX('Stock list'!$J$2:$J$301,$A53)&amp;"")</f>
        <v/>
      </c>
      <c r="G53" s="32">
        <f>IF($A53="","",INDEX('Stock list'!$Z$2:$Z$301,$A53))</f>
        <v/>
      </c>
      <c r="H53" s="39">
        <f>IF($A53="","",INDEX('Stock list'!$L$2:$L$301,$A53))</f>
        <v/>
      </c>
      <c r="I53" s="39">
        <f>IF($A53="","",INDEX('Stock list'!$AB$2:$AB$301,$A53))</f>
        <v/>
      </c>
      <c r="J53" s="30">
        <f>IF($A53="","",INDEX('Stock list'!$B$2:$B$301,$A53))</f>
        <v/>
      </c>
      <c r="K53" s="43">
        <f>IF($A53="","",INDEX('Stock list'!$N$2:$N$301,$A53)&amp;"")</f>
        <v/>
      </c>
      <c r="L53" s="43">
        <f>IF($A53="","",INDEX('Stock list'!$A$2:$A$301,$A53)&amp;" (cat. "&amp;INDEX('Stock list'!$I$2:$I$301,$A53)&amp;"), "&amp;INDEX('Stock list'!$Z$2:$Z$301,$A53)&amp;" × "&amp;INDEX('Stock list'!$J$2:$J$301,$A53)&amp;", "&amp;Settings!$C$11&amp;TEXT(INDEX('Stock list'!$AB$2:$AB$301,$A53),"#,##0.00"))</f>
        <v/>
      </c>
    </row>
    <row r="54">
      <c r="A54" s="42">
        <f>IFERROR(MATCH(50,'Stock list'!$AG$2:$AG$301,0),"")</f>
        <v/>
      </c>
      <c r="B54" s="43">
        <f>IF($A54="","",50)</f>
        <v/>
      </c>
      <c r="C54" s="43">
        <f>IF($A54="","",INDEX('Stock list'!$H$2:$H$301,$A54))</f>
        <v/>
      </c>
      <c r="D54" s="43">
        <f>IF($A54="","",INDEX('Stock list'!$A$2:$A$301,$A54))</f>
        <v/>
      </c>
      <c r="E54" s="43">
        <f>IF($A54="","",INDEX('Stock list'!$I$2:$I$301,$A54)&amp;"")</f>
        <v/>
      </c>
      <c r="F54" s="43">
        <f>IF($A54="","",INDEX('Stock list'!$J$2:$J$301,$A54)&amp;"")</f>
        <v/>
      </c>
      <c r="G54" s="32">
        <f>IF($A54="","",INDEX('Stock list'!$Z$2:$Z$301,$A54))</f>
        <v/>
      </c>
      <c r="H54" s="39">
        <f>IF($A54="","",INDEX('Stock list'!$L$2:$L$301,$A54))</f>
        <v/>
      </c>
      <c r="I54" s="39">
        <f>IF($A54="","",INDEX('Stock list'!$AB$2:$AB$301,$A54))</f>
        <v/>
      </c>
      <c r="J54" s="30">
        <f>IF($A54="","",INDEX('Stock list'!$B$2:$B$301,$A54))</f>
        <v/>
      </c>
      <c r="K54" s="43">
        <f>IF($A54="","",INDEX('Stock list'!$N$2:$N$301,$A54)&amp;"")</f>
        <v/>
      </c>
      <c r="L54" s="43">
        <f>IF($A54="","",INDEX('Stock list'!$A$2:$A$301,$A54)&amp;" (cat. "&amp;INDEX('Stock list'!$I$2:$I$301,$A54)&amp;"), "&amp;INDEX('Stock list'!$Z$2:$Z$301,$A54)&amp;" × "&amp;INDEX('Stock list'!$J$2:$J$301,$A54)&amp;", "&amp;Settings!$C$11&amp;TEXT(INDEX('Stock list'!$AB$2:$AB$301,$A54),"#,##0.00"))</f>
        <v/>
      </c>
    </row>
    <row r="55">
      <c r="A55" s="42">
        <f>IFERROR(MATCH(51,'Stock list'!$AG$2:$AG$301,0),"")</f>
        <v/>
      </c>
      <c r="B55" s="43">
        <f>IF($A55="","",51)</f>
        <v/>
      </c>
      <c r="C55" s="43">
        <f>IF($A55="","",INDEX('Stock list'!$H$2:$H$301,$A55))</f>
        <v/>
      </c>
      <c r="D55" s="43">
        <f>IF($A55="","",INDEX('Stock list'!$A$2:$A$301,$A55))</f>
        <v/>
      </c>
      <c r="E55" s="43">
        <f>IF($A55="","",INDEX('Stock list'!$I$2:$I$301,$A55)&amp;"")</f>
        <v/>
      </c>
      <c r="F55" s="43">
        <f>IF($A55="","",INDEX('Stock list'!$J$2:$J$301,$A55)&amp;"")</f>
        <v/>
      </c>
      <c r="G55" s="32">
        <f>IF($A55="","",INDEX('Stock list'!$Z$2:$Z$301,$A55))</f>
        <v/>
      </c>
      <c r="H55" s="39">
        <f>IF($A55="","",INDEX('Stock list'!$L$2:$L$301,$A55))</f>
        <v/>
      </c>
      <c r="I55" s="39">
        <f>IF($A55="","",INDEX('Stock list'!$AB$2:$AB$301,$A55))</f>
        <v/>
      </c>
      <c r="J55" s="30">
        <f>IF($A55="","",INDEX('Stock list'!$B$2:$B$301,$A55))</f>
        <v/>
      </c>
      <c r="K55" s="43">
        <f>IF($A55="","",INDEX('Stock list'!$N$2:$N$301,$A55)&amp;"")</f>
        <v/>
      </c>
      <c r="L55" s="43">
        <f>IF($A55="","",INDEX('Stock list'!$A$2:$A$301,$A55)&amp;" (cat. "&amp;INDEX('Stock list'!$I$2:$I$301,$A55)&amp;"), "&amp;INDEX('Stock list'!$Z$2:$Z$301,$A55)&amp;" × "&amp;INDEX('Stock list'!$J$2:$J$301,$A55)&amp;", "&amp;Settings!$C$11&amp;TEXT(INDEX('Stock list'!$AB$2:$AB$301,$A55),"#,##0.00"))</f>
        <v/>
      </c>
    </row>
    <row r="56">
      <c r="A56" s="42">
        <f>IFERROR(MATCH(52,'Stock list'!$AG$2:$AG$301,0),"")</f>
        <v/>
      </c>
      <c r="B56" s="43">
        <f>IF($A56="","",52)</f>
        <v/>
      </c>
      <c r="C56" s="43">
        <f>IF($A56="","",INDEX('Stock list'!$H$2:$H$301,$A56))</f>
        <v/>
      </c>
      <c r="D56" s="43">
        <f>IF($A56="","",INDEX('Stock list'!$A$2:$A$301,$A56))</f>
        <v/>
      </c>
      <c r="E56" s="43">
        <f>IF($A56="","",INDEX('Stock list'!$I$2:$I$301,$A56)&amp;"")</f>
        <v/>
      </c>
      <c r="F56" s="43">
        <f>IF($A56="","",INDEX('Stock list'!$J$2:$J$301,$A56)&amp;"")</f>
        <v/>
      </c>
      <c r="G56" s="32">
        <f>IF($A56="","",INDEX('Stock list'!$Z$2:$Z$301,$A56))</f>
        <v/>
      </c>
      <c r="H56" s="39">
        <f>IF($A56="","",INDEX('Stock list'!$L$2:$L$301,$A56))</f>
        <v/>
      </c>
      <c r="I56" s="39">
        <f>IF($A56="","",INDEX('Stock list'!$AB$2:$AB$301,$A56))</f>
        <v/>
      </c>
      <c r="J56" s="30">
        <f>IF($A56="","",INDEX('Stock list'!$B$2:$B$301,$A56))</f>
        <v/>
      </c>
      <c r="K56" s="43">
        <f>IF($A56="","",INDEX('Stock list'!$N$2:$N$301,$A56)&amp;"")</f>
        <v/>
      </c>
      <c r="L56" s="43">
        <f>IF($A56="","",INDEX('Stock list'!$A$2:$A$301,$A56)&amp;" (cat. "&amp;INDEX('Stock list'!$I$2:$I$301,$A56)&amp;"), "&amp;INDEX('Stock list'!$Z$2:$Z$301,$A56)&amp;" × "&amp;INDEX('Stock list'!$J$2:$J$301,$A56)&amp;", "&amp;Settings!$C$11&amp;TEXT(INDEX('Stock list'!$AB$2:$AB$301,$A56),"#,##0.00"))</f>
        <v/>
      </c>
    </row>
    <row r="57">
      <c r="A57" s="42">
        <f>IFERROR(MATCH(53,'Stock list'!$AG$2:$AG$301,0),"")</f>
        <v/>
      </c>
      <c r="B57" s="43">
        <f>IF($A57="","",53)</f>
        <v/>
      </c>
      <c r="C57" s="43">
        <f>IF($A57="","",INDEX('Stock list'!$H$2:$H$301,$A57))</f>
        <v/>
      </c>
      <c r="D57" s="43">
        <f>IF($A57="","",INDEX('Stock list'!$A$2:$A$301,$A57))</f>
        <v/>
      </c>
      <c r="E57" s="43">
        <f>IF($A57="","",INDEX('Stock list'!$I$2:$I$301,$A57)&amp;"")</f>
        <v/>
      </c>
      <c r="F57" s="43">
        <f>IF($A57="","",INDEX('Stock list'!$J$2:$J$301,$A57)&amp;"")</f>
        <v/>
      </c>
      <c r="G57" s="32">
        <f>IF($A57="","",INDEX('Stock list'!$Z$2:$Z$301,$A57))</f>
        <v/>
      </c>
      <c r="H57" s="39">
        <f>IF($A57="","",INDEX('Stock list'!$L$2:$L$301,$A57))</f>
        <v/>
      </c>
      <c r="I57" s="39">
        <f>IF($A57="","",INDEX('Stock list'!$AB$2:$AB$301,$A57))</f>
        <v/>
      </c>
      <c r="J57" s="30">
        <f>IF($A57="","",INDEX('Stock list'!$B$2:$B$301,$A57))</f>
        <v/>
      </c>
      <c r="K57" s="43">
        <f>IF($A57="","",INDEX('Stock list'!$N$2:$N$301,$A57)&amp;"")</f>
        <v/>
      </c>
      <c r="L57" s="43">
        <f>IF($A57="","",INDEX('Stock list'!$A$2:$A$301,$A57)&amp;" (cat. "&amp;INDEX('Stock list'!$I$2:$I$301,$A57)&amp;"), "&amp;INDEX('Stock list'!$Z$2:$Z$301,$A57)&amp;" × "&amp;INDEX('Stock list'!$J$2:$J$301,$A57)&amp;", "&amp;Settings!$C$11&amp;TEXT(INDEX('Stock list'!$AB$2:$AB$301,$A57),"#,##0.00"))</f>
        <v/>
      </c>
    </row>
    <row r="58">
      <c r="A58" s="42">
        <f>IFERROR(MATCH(54,'Stock list'!$AG$2:$AG$301,0),"")</f>
        <v/>
      </c>
      <c r="B58" s="43">
        <f>IF($A58="","",54)</f>
        <v/>
      </c>
      <c r="C58" s="43">
        <f>IF($A58="","",INDEX('Stock list'!$H$2:$H$301,$A58))</f>
        <v/>
      </c>
      <c r="D58" s="43">
        <f>IF($A58="","",INDEX('Stock list'!$A$2:$A$301,$A58))</f>
        <v/>
      </c>
      <c r="E58" s="43">
        <f>IF($A58="","",INDEX('Stock list'!$I$2:$I$301,$A58)&amp;"")</f>
        <v/>
      </c>
      <c r="F58" s="43">
        <f>IF($A58="","",INDEX('Stock list'!$J$2:$J$301,$A58)&amp;"")</f>
        <v/>
      </c>
      <c r="G58" s="32">
        <f>IF($A58="","",INDEX('Stock list'!$Z$2:$Z$301,$A58))</f>
        <v/>
      </c>
      <c r="H58" s="39">
        <f>IF($A58="","",INDEX('Stock list'!$L$2:$L$301,$A58))</f>
        <v/>
      </c>
      <c r="I58" s="39">
        <f>IF($A58="","",INDEX('Stock list'!$AB$2:$AB$301,$A58))</f>
        <v/>
      </c>
      <c r="J58" s="30">
        <f>IF($A58="","",INDEX('Stock list'!$B$2:$B$301,$A58))</f>
        <v/>
      </c>
      <c r="K58" s="43">
        <f>IF($A58="","",INDEX('Stock list'!$N$2:$N$301,$A58)&amp;"")</f>
        <v/>
      </c>
      <c r="L58" s="43">
        <f>IF($A58="","",INDEX('Stock list'!$A$2:$A$301,$A58)&amp;" (cat. "&amp;INDEX('Stock list'!$I$2:$I$301,$A58)&amp;"), "&amp;INDEX('Stock list'!$Z$2:$Z$301,$A58)&amp;" × "&amp;INDEX('Stock list'!$J$2:$J$301,$A58)&amp;", "&amp;Settings!$C$11&amp;TEXT(INDEX('Stock list'!$AB$2:$AB$301,$A58),"#,##0.00"))</f>
        <v/>
      </c>
    </row>
    <row r="59">
      <c r="A59" s="42">
        <f>IFERROR(MATCH(55,'Stock list'!$AG$2:$AG$301,0),"")</f>
        <v/>
      </c>
      <c r="B59" s="43">
        <f>IF($A59="","",55)</f>
        <v/>
      </c>
      <c r="C59" s="43">
        <f>IF($A59="","",INDEX('Stock list'!$H$2:$H$301,$A59))</f>
        <v/>
      </c>
      <c r="D59" s="43">
        <f>IF($A59="","",INDEX('Stock list'!$A$2:$A$301,$A59))</f>
        <v/>
      </c>
      <c r="E59" s="43">
        <f>IF($A59="","",INDEX('Stock list'!$I$2:$I$301,$A59)&amp;"")</f>
        <v/>
      </c>
      <c r="F59" s="43">
        <f>IF($A59="","",INDEX('Stock list'!$J$2:$J$301,$A59)&amp;"")</f>
        <v/>
      </c>
      <c r="G59" s="32">
        <f>IF($A59="","",INDEX('Stock list'!$Z$2:$Z$301,$A59))</f>
        <v/>
      </c>
      <c r="H59" s="39">
        <f>IF($A59="","",INDEX('Stock list'!$L$2:$L$301,$A59))</f>
        <v/>
      </c>
      <c r="I59" s="39">
        <f>IF($A59="","",INDEX('Stock list'!$AB$2:$AB$301,$A59))</f>
        <v/>
      </c>
      <c r="J59" s="30">
        <f>IF($A59="","",INDEX('Stock list'!$B$2:$B$301,$A59))</f>
        <v/>
      </c>
      <c r="K59" s="43">
        <f>IF($A59="","",INDEX('Stock list'!$N$2:$N$301,$A59)&amp;"")</f>
        <v/>
      </c>
      <c r="L59" s="43">
        <f>IF($A59="","",INDEX('Stock list'!$A$2:$A$301,$A59)&amp;" (cat. "&amp;INDEX('Stock list'!$I$2:$I$301,$A59)&amp;"), "&amp;INDEX('Stock list'!$Z$2:$Z$301,$A59)&amp;" × "&amp;INDEX('Stock list'!$J$2:$J$301,$A59)&amp;", "&amp;Settings!$C$11&amp;TEXT(INDEX('Stock list'!$AB$2:$AB$301,$A59),"#,##0.00"))</f>
        <v/>
      </c>
    </row>
    <row r="60">
      <c r="A60" s="42">
        <f>IFERROR(MATCH(56,'Stock list'!$AG$2:$AG$301,0),"")</f>
        <v/>
      </c>
      <c r="B60" s="43">
        <f>IF($A60="","",56)</f>
        <v/>
      </c>
      <c r="C60" s="43">
        <f>IF($A60="","",INDEX('Stock list'!$H$2:$H$301,$A60))</f>
        <v/>
      </c>
      <c r="D60" s="43">
        <f>IF($A60="","",INDEX('Stock list'!$A$2:$A$301,$A60))</f>
        <v/>
      </c>
      <c r="E60" s="43">
        <f>IF($A60="","",INDEX('Stock list'!$I$2:$I$301,$A60)&amp;"")</f>
        <v/>
      </c>
      <c r="F60" s="43">
        <f>IF($A60="","",INDEX('Stock list'!$J$2:$J$301,$A60)&amp;"")</f>
        <v/>
      </c>
      <c r="G60" s="32">
        <f>IF($A60="","",INDEX('Stock list'!$Z$2:$Z$301,$A60))</f>
        <v/>
      </c>
      <c r="H60" s="39">
        <f>IF($A60="","",INDEX('Stock list'!$L$2:$L$301,$A60))</f>
        <v/>
      </c>
      <c r="I60" s="39">
        <f>IF($A60="","",INDEX('Stock list'!$AB$2:$AB$301,$A60))</f>
        <v/>
      </c>
      <c r="J60" s="30">
        <f>IF($A60="","",INDEX('Stock list'!$B$2:$B$301,$A60))</f>
        <v/>
      </c>
      <c r="K60" s="43">
        <f>IF($A60="","",INDEX('Stock list'!$N$2:$N$301,$A60)&amp;"")</f>
        <v/>
      </c>
      <c r="L60" s="43">
        <f>IF($A60="","",INDEX('Stock list'!$A$2:$A$301,$A60)&amp;" (cat. "&amp;INDEX('Stock list'!$I$2:$I$301,$A60)&amp;"), "&amp;INDEX('Stock list'!$Z$2:$Z$301,$A60)&amp;" × "&amp;INDEX('Stock list'!$J$2:$J$301,$A60)&amp;", "&amp;Settings!$C$11&amp;TEXT(INDEX('Stock list'!$AB$2:$AB$301,$A60),"#,##0.00"))</f>
        <v/>
      </c>
    </row>
    <row r="61">
      <c r="A61" s="42">
        <f>IFERROR(MATCH(57,'Stock list'!$AG$2:$AG$301,0),"")</f>
        <v/>
      </c>
      <c r="B61" s="43">
        <f>IF($A61="","",57)</f>
        <v/>
      </c>
      <c r="C61" s="43">
        <f>IF($A61="","",INDEX('Stock list'!$H$2:$H$301,$A61))</f>
        <v/>
      </c>
      <c r="D61" s="43">
        <f>IF($A61="","",INDEX('Stock list'!$A$2:$A$301,$A61))</f>
        <v/>
      </c>
      <c r="E61" s="43">
        <f>IF($A61="","",INDEX('Stock list'!$I$2:$I$301,$A61)&amp;"")</f>
        <v/>
      </c>
      <c r="F61" s="43">
        <f>IF($A61="","",INDEX('Stock list'!$J$2:$J$301,$A61)&amp;"")</f>
        <v/>
      </c>
      <c r="G61" s="32">
        <f>IF($A61="","",INDEX('Stock list'!$Z$2:$Z$301,$A61))</f>
        <v/>
      </c>
      <c r="H61" s="39">
        <f>IF($A61="","",INDEX('Stock list'!$L$2:$L$301,$A61))</f>
        <v/>
      </c>
      <c r="I61" s="39">
        <f>IF($A61="","",INDEX('Stock list'!$AB$2:$AB$301,$A61))</f>
        <v/>
      </c>
      <c r="J61" s="30">
        <f>IF($A61="","",INDEX('Stock list'!$B$2:$B$301,$A61))</f>
        <v/>
      </c>
      <c r="K61" s="43">
        <f>IF($A61="","",INDEX('Stock list'!$N$2:$N$301,$A61)&amp;"")</f>
        <v/>
      </c>
      <c r="L61" s="43">
        <f>IF($A61="","",INDEX('Stock list'!$A$2:$A$301,$A61)&amp;" (cat. "&amp;INDEX('Stock list'!$I$2:$I$301,$A61)&amp;"), "&amp;INDEX('Stock list'!$Z$2:$Z$301,$A61)&amp;" × "&amp;INDEX('Stock list'!$J$2:$J$301,$A61)&amp;", "&amp;Settings!$C$11&amp;TEXT(INDEX('Stock list'!$AB$2:$AB$301,$A61),"#,##0.00"))</f>
        <v/>
      </c>
    </row>
    <row r="62">
      <c r="A62" s="42">
        <f>IFERROR(MATCH(58,'Stock list'!$AG$2:$AG$301,0),"")</f>
        <v/>
      </c>
      <c r="B62" s="43">
        <f>IF($A62="","",58)</f>
        <v/>
      </c>
      <c r="C62" s="43">
        <f>IF($A62="","",INDEX('Stock list'!$H$2:$H$301,$A62))</f>
        <v/>
      </c>
      <c r="D62" s="43">
        <f>IF($A62="","",INDEX('Stock list'!$A$2:$A$301,$A62))</f>
        <v/>
      </c>
      <c r="E62" s="43">
        <f>IF($A62="","",INDEX('Stock list'!$I$2:$I$301,$A62)&amp;"")</f>
        <v/>
      </c>
      <c r="F62" s="43">
        <f>IF($A62="","",INDEX('Stock list'!$J$2:$J$301,$A62)&amp;"")</f>
        <v/>
      </c>
      <c r="G62" s="32">
        <f>IF($A62="","",INDEX('Stock list'!$Z$2:$Z$301,$A62))</f>
        <v/>
      </c>
      <c r="H62" s="39">
        <f>IF($A62="","",INDEX('Stock list'!$L$2:$L$301,$A62))</f>
        <v/>
      </c>
      <c r="I62" s="39">
        <f>IF($A62="","",INDEX('Stock list'!$AB$2:$AB$301,$A62))</f>
        <v/>
      </c>
      <c r="J62" s="30">
        <f>IF($A62="","",INDEX('Stock list'!$B$2:$B$301,$A62))</f>
        <v/>
      </c>
      <c r="K62" s="43">
        <f>IF($A62="","",INDEX('Stock list'!$N$2:$N$301,$A62)&amp;"")</f>
        <v/>
      </c>
      <c r="L62" s="43">
        <f>IF($A62="","",INDEX('Stock list'!$A$2:$A$301,$A62)&amp;" (cat. "&amp;INDEX('Stock list'!$I$2:$I$301,$A62)&amp;"), "&amp;INDEX('Stock list'!$Z$2:$Z$301,$A62)&amp;" × "&amp;INDEX('Stock list'!$J$2:$J$301,$A62)&amp;", "&amp;Settings!$C$11&amp;TEXT(INDEX('Stock list'!$AB$2:$AB$301,$A62),"#,##0.00"))</f>
        <v/>
      </c>
    </row>
    <row r="63">
      <c r="A63" s="42">
        <f>IFERROR(MATCH(59,'Stock list'!$AG$2:$AG$301,0),"")</f>
        <v/>
      </c>
      <c r="B63" s="43">
        <f>IF($A63="","",59)</f>
        <v/>
      </c>
      <c r="C63" s="43">
        <f>IF($A63="","",INDEX('Stock list'!$H$2:$H$301,$A63))</f>
        <v/>
      </c>
      <c r="D63" s="43">
        <f>IF($A63="","",INDEX('Stock list'!$A$2:$A$301,$A63))</f>
        <v/>
      </c>
      <c r="E63" s="43">
        <f>IF($A63="","",INDEX('Stock list'!$I$2:$I$301,$A63)&amp;"")</f>
        <v/>
      </c>
      <c r="F63" s="43">
        <f>IF($A63="","",INDEX('Stock list'!$J$2:$J$301,$A63)&amp;"")</f>
        <v/>
      </c>
      <c r="G63" s="32">
        <f>IF($A63="","",INDEX('Stock list'!$Z$2:$Z$301,$A63))</f>
        <v/>
      </c>
      <c r="H63" s="39">
        <f>IF($A63="","",INDEX('Stock list'!$L$2:$L$301,$A63))</f>
        <v/>
      </c>
      <c r="I63" s="39">
        <f>IF($A63="","",INDEX('Stock list'!$AB$2:$AB$301,$A63))</f>
        <v/>
      </c>
      <c r="J63" s="30">
        <f>IF($A63="","",INDEX('Stock list'!$B$2:$B$301,$A63))</f>
        <v/>
      </c>
      <c r="K63" s="43">
        <f>IF($A63="","",INDEX('Stock list'!$N$2:$N$301,$A63)&amp;"")</f>
        <v/>
      </c>
      <c r="L63" s="43">
        <f>IF($A63="","",INDEX('Stock list'!$A$2:$A$301,$A63)&amp;" (cat. "&amp;INDEX('Stock list'!$I$2:$I$301,$A63)&amp;"), "&amp;INDEX('Stock list'!$Z$2:$Z$301,$A63)&amp;" × "&amp;INDEX('Stock list'!$J$2:$J$301,$A63)&amp;", "&amp;Settings!$C$11&amp;TEXT(INDEX('Stock list'!$AB$2:$AB$301,$A63),"#,##0.00"))</f>
        <v/>
      </c>
    </row>
    <row r="64">
      <c r="A64" s="42">
        <f>IFERROR(MATCH(60,'Stock list'!$AG$2:$AG$301,0),"")</f>
        <v/>
      </c>
      <c r="B64" s="43">
        <f>IF($A64="","",60)</f>
        <v/>
      </c>
      <c r="C64" s="43">
        <f>IF($A64="","",INDEX('Stock list'!$H$2:$H$301,$A64))</f>
        <v/>
      </c>
      <c r="D64" s="43">
        <f>IF($A64="","",INDEX('Stock list'!$A$2:$A$301,$A64))</f>
        <v/>
      </c>
      <c r="E64" s="43">
        <f>IF($A64="","",INDEX('Stock list'!$I$2:$I$301,$A64)&amp;"")</f>
        <v/>
      </c>
      <c r="F64" s="43">
        <f>IF($A64="","",INDEX('Stock list'!$J$2:$J$301,$A64)&amp;"")</f>
        <v/>
      </c>
      <c r="G64" s="32">
        <f>IF($A64="","",INDEX('Stock list'!$Z$2:$Z$301,$A64))</f>
        <v/>
      </c>
      <c r="H64" s="39">
        <f>IF($A64="","",INDEX('Stock list'!$L$2:$L$301,$A64))</f>
        <v/>
      </c>
      <c r="I64" s="39">
        <f>IF($A64="","",INDEX('Stock list'!$AB$2:$AB$301,$A64))</f>
        <v/>
      </c>
      <c r="J64" s="30">
        <f>IF($A64="","",INDEX('Stock list'!$B$2:$B$301,$A64))</f>
        <v/>
      </c>
      <c r="K64" s="43">
        <f>IF($A64="","",INDEX('Stock list'!$N$2:$N$301,$A64)&amp;"")</f>
        <v/>
      </c>
      <c r="L64" s="43">
        <f>IF($A64="","",INDEX('Stock list'!$A$2:$A$301,$A64)&amp;" (cat. "&amp;INDEX('Stock list'!$I$2:$I$301,$A64)&amp;"), "&amp;INDEX('Stock list'!$Z$2:$Z$301,$A64)&amp;" × "&amp;INDEX('Stock list'!$J$2:$J$301,$A64)&amp;", "&amp;Settings!$C$11&amp;TEXT(INDEX('Stock list'!$AB$2:$AB$301,$A64),"#,##0.00"))</f>
        <v/>
      </c>
    </row>
    <row r="65">
      <c r="B65" s="45" t="inlineStr"/>
      <c r="C65" s="46" t="inlineStr">
        <is>
          <t>Total</t>
        </is>
      </c>
      <c r="D65" s="45" t="inlineStr"/>
      <c r="E65" s="45" t="inlineStr"/>
      <c r="F65" s="45" t="inlineStr"/>
      <c r="G65" s="45" t="inlineStr"/>
      <c r="H65" s="45" t="inlineStr"/>
      <c r="I65" s="47">
        <f>SUM(I5:I64)</f>
        <v/>
      </c>
      <c r="J65" s="45" t="inlineStr"/>
      <c r="K65" s="45" t="inlineStr"/>
      <c r="L65" s="45" t="inlineStr"/>
    </row>
  </sheetData>
  <mergeCells count="1">
    <mergeCell ref="N26:Q26"/>
  </mergeCells>
  <conditionalFormatting sqref="J5:J64">
    <cfRule type="expression" priority="1" dxfId="0">
      <formula>$J5="Critical"</formula>
    </cfRule>
    <cfRule type="expression" priority="2" dxfId="1">
      <formula>$J5="Order now"</formula>
    </cfRule>
  </conditionalFormatting>
  <pageMargins left="0.75" right="0.75" top="1" bottom="1" header="0.5" footer="0.5"/>
  <pageSetup orientation="landscape" fitToHeight="0" fitToWidth="1"/>
</worksheet>
</file>

<file path=xl/worksheets/sheet7.xml><?xml version="1.0" encoding="utf-8"?>
<worksheet xmlns="http://schemas.openxmlformats.org/spreadsheetml/2006/main">
  <sheetPr>
    <outlinePr summaryBelow="1" summaryRight="1"/>
    <pageSetUpPr fitToPage="1"/>
  </sheetPr>
  <dimension ref="A1:L66"/>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hidden="1" width="6" customWidth="1" min="1" max="1"/>
    <col width="4" customWidth="1" min="2" max="2"/>
    <col width="18" customWidth="1" min="3" max="3"/>
    <col width="34" customWidth="1" min="4" max="4"/>
    <col width="9" customWidth="1" min="5" max="5"/>
    <col width="14" customWidth="1" min="6" max="6"/>
    <col width="10" customWidth="1" min="7" max="7"/>
    <col width="11" customWidth="1" min="8" max="8"/>
    <col width="9" customWidth="1" min="9" max="9"/>
    <col width="26" customWidth="1" min="10" max="10"/>
    <col width="11" customWidth="1" min="11" max="11"/>
    <col width="30" customWidth="1" min="12" max="12"/>
  </cols>
  <sheetData>
    <row r="1">
      <c r="B1" s="1" t="inlineStr">
        <is>
          <t>Count</t>
        </is>
      </c>
    </row>
    <row r="2">
      <c r="B2" s="2">
        <f>"Thursday count, as of "&amp;TEXT(Settings!$C$10,"d mmm yyyy")&amp;": "&amp;SUM('Stock list'!$AH$2:$AH$301)&amp;IF(SUM('Stock list'!$AH$2:$AH$301)=1," item."," items.")&amp;" Walk the lab in this order and count only these. Then type each count into the Stock list (Counted and Counted on), or add a Count row to the Log."</f>
        <v/>
      </c>
    </row>
    <row r="4">
      <c r="B4" s="5" t="inlineStr">
        <is>
          <t>#</t>
        </is>
      </c>
      <c r="C4" s="5" t="inlineStr">
        <is>
          <t>Location</t>
        </is>
      </c>
      <c r="D4" s="5" t="inlineStr">
        <is>
          <t>Item</t>
        </is>
      </c>
      <c r="E4" s="5" t="inlineStr">
        <is>
          <t>Count in</t>
        </is>
      </c>
      <c r="F4" s="5" t="inlineStr">
        <is>
          <t>Owner</t>
        </is>
      </c>
      <c r="G4" s="5" t="inlineStr">
        <is>
          <t>Stock now (sheet)</t>
        </is>
      </c>
      <c r="H4" s="5" t="inlineStr">
        <is>
          <t>Last counted</t>
        </is>
      </c>
      <c r="I4" s="5" t="inlineStr">
        <is>
          <t>Reorder point</t>
        </is>
      </c>
      <c r="J4" s="5" t="inlineStr">
        <is>
          <t>Why it is on the list</t>
        </is>
      </c>
      <c r="K4" s="5" t="inlineStr">
        <is>
          <t>Your count</t>
        </is>
      </c>
      <c r="L4" s="5" t="inlineStr">
        <is>
          <t>Note</t>
        </is>
      </c>
    </row>
    <row r="5">
      <c r="A5" s="42">
        <f>IFERROR(MATCH(1,'Stock list'!$AK$2:$AK$301,0),"")</f>
        <v/>
      </c>
      <c r="B5" s="43">
        <f>IF($A5="","",1)</f>
        <v/>
      </c>
      <c r="C5" s="43">
        <f>IF($A5="","",INDEX('Stock list'!$M$2:$M$301,$A5)&amp;"")</f>
        <v/>
      </c>
      <c r="D5" s="43">
        <f>IF($A5="","",INDEX('Stock list'!$A$2:$A$301,$A5))</f>
        <v/>
      </c>
      <c r="E5" s="43">
        <f>IF($A5="","",INDEX('Stock list'!$K$2:$K$301,$A5)&amp;"")</f>
        <v/>
      </c>
      <c r="F5" s="43">
        <f>IF($A5="","",INDEX('Stock list'!$N$2:$N$301,$A5)&amp;"")</f>
        <v/>
      </c>
      <c r="G5" s="31">
        <f>IF($A5="","",INDEX('Stock list'!$C$2:$C$301,$A5))</f>
        <v/>
      </c>
      <c r="H5" s="48">
        <f>IF($A5="","",INDEX('Stock list'!$AA$2:$AA$301,$A5))</f>
        <v/>
      </c>
      <c r="I5" s="32">
        <f>IF($A5="","",INDEX('Stock list'!$D$2:$D$301,$A5))</f>
        <v/>
      </c>
      <c r="J5" s="43">
        <f>IF($A5="","",INDEX('Stock list'!$AI$2:$AI$301,$A5))</f>
        <v/>
      </c>
      <c r="K5" s="35" t="n"/>
      <c r="L5" s="24" t="n"/>
    </row>
    <row r="6">
      <c r="A6" s="42">
        <f>IFERROR(MATCH(2,'Stock list'!$AK$2:$AK$301,0),"")</f>
        <v/>
      </c>
      <c r="B6" s="43">
        <f>IF($A6="","",2)</f>
        <v/>
      </c>
      <c r="C6" s="43">
        <f>IF($A6="","",INDEX('Stock list'!$M$2:$M$301,$A6)&amp;"")</f>
        <v/>
      </c>
      <c r="D6" s="43">
        <f>IF($A6="","",INDEX('Stock list'!$A$2:$A$301,$A6))</f>
        <v/>
      </c>
      <c r="E6" s="43">
        <f>IF($A6="","",INDEX('Stock list'!$K$2:$K$301,$A6)&amp;"")</f>
        <v/>
      </c>
      <c r="F6" s="43">
        <f>IF($A6="","",INDEX('Stock list'!$N$2:$N$301,$A6)&amp;"")</f>
        <v/>
      </c>
      <c r="G6" s="31">
        <f>IF($A6="","",INDEX('Stock list'!$C$2:$C$301,$A6))</f>
        <v/>
      </c>
      <c r="H6" s="48">
        <f>IF($A6="","",INDEX('Stock list'!$AA$2:$AA$301,$A6))</f>
        <v/>
      </c>
      <c r="I6" s="32">
        <f>IF($A6="","",INDEX('Stock list'!$D$2:$D$301,$A6))</f>
        <v/>
      </c>
      <c r="J6" s="43">
        <f>IF($A6="","",INDEX('Stock list'!$AI$2:$AI$301,$A6))</f>
        <v/>
      </c>
      <c r="K6" s="35" t="n"/>
      <c r="L6" s="24" t="n"/>
    </row>
    <row r="7">
      <c r="A7" s="42">
        <f>IFERROR(MATCH(3,'Stock list'!$AK$2:$AK$301,0),"")</f>
        <v/>
      </c>
      <c r="B7" s="43">
        <f>IF($A7="","",3)</f>
        <v/>
      </c>
      <c r="C7" s="43">
        <f>IF($A7="","",INDEX('Stock list'!$M$2:$M$301,$A7)&amp;"")</f>
        <v/>
      </c>
      <c r="D7" s="43">
        <f>IF($A7="","",INDEX('Stock list'!$A$2:$A$301,$A7))</f>
        <v/>
      </c>
      <c r="E7" s="43">
        <f>IF($A7="","",INDEX('Stock list'!$K$2:$K$301,$A7)&amp;"")</f>
        <v/>
      </c>
      <c r="F7" s="43">
        <f>IF($A7="","",INDEX('Stock list'!$N$2:$N$301,$A7)&amp;"")</f>
        <v/>
      </c>
      <c r="G7" s="31">
        <f>IF($A7="","",INDEX('Stock list'!$C$2:$C$301,$A7))</f>
        <v/>
      </c>
      <c r="H7" s="48">
        <f>IF($A7="","",INDEX('Stock list'!$AA$2:$AA$301,$A7))</f>
        <v/>
      </c>
      <c r="I7" s="32">
        <f>IF($A7="","",INDEX('Stock list'!$D$2:$D$301,$A7))</f>
        <v/>
      </c>
      <c r="J7" s="43">
        <f>IF($A7="","",INDEX('Stock list'!$AI$2:$AI$301,$A7))</f>
        <v/>
      </c>
      <c r="K7" s="35" t="n"/>
      <c r="L7" s="24" t="n"/>
    </row>
    <row r="8">
      <c r="A8" s="42">
        <f>IFERROR(MATCH(4,'Stock list'!$AK$2:$AK$301,0),"")</f>
        <v/>
      </c>
      <c r="B8" s="43">
        <f>IF($A8="","",4)</f>
        <v/>
      </c>
      <c r="C8" s="43">
        <f>IF($A8="","",INDEX('Stock list'!$M$2:$M$301,$A8)&amp;"")</f>
        <v/>
      </c>
      <c r="D8" s="43">
        <f>IF($A8="","",INDEX('Stock list'!$A$2:$A$301,$A8))</f>
        <v/>
      </c>
      <c r="E8" s="43">
        <f>IF($A8="","",INDEX('Stock list'!$K$2:$K$301,$A8)&amp;"")</f>
        <v/>
      </c>
      <c r="F8" s="43">
        <f>IF($A8="","",INDEX('Stock list'!$N$2:$N$301,$A8)&amp;"")</f>
        <v/>
      </c>
      <c r="G8" s="31">
        <f>IF($A8="","",INDEX('Stock list'!$C$2:$C$301,$A8))</f>
        <v/>
      </c>
      <c r="H8" s="48">
        <f>IF($A8="","",INDEX('Stock list'!$AA$2:$AA$301,$A8))</f>
        <v/>
      </c>
      <c r="I8" s="32">
        <f>IF($A8="","",INDEX('Stock list'!$D$2:$D$301,$A8))</f>
        <v/>
      </c>
      <c r="J8" s="43">
        <f>IF($A8="","",INDEX('Stock list'!$AI$2:$AI$301,$A8))</f>
        <v/>
      </c>
      <c r="K8" s="35" t="n"/>
      <c r="L8" s="24" t="n"/>
    </row>
    <row r="9">
      <c r="A9" s="42">
        <f>IFERROR(MATCH(5,'Stock list'!$AK$2:$AK$301,0),"")</f>
        <v/>
      </c>
      <c r="B9" s="43">
        <f>IF($A9="","",5)</f>
        <v/>
      </c>
      <c r="C9" s="43">
        <f>IF($A9="","",INDEX('Stock list'!$M$2:$M$301,$A9)&amp;"")</f>
        <v/>
      </c>
      <c r="D9" s="43">
        <f>IF($A9="","",INDEX('Stock list'!$A$2:$A$301,$A9))</f>
        <v/>
      </c>
      <c r="E9" s="43">
        <f>IF($A9="","",INDEX('Stock list'!$K$2:$K$301,$A9)&amp;"")</f>
        <v/>
      </c>
      <c r="F9" s="43">
        <f>IF($A9="","",INDEX('Stock list'!$N$2:$N$301,$A9)&amp;"")</f>
        <v/>
      </c>
      <c r="G9" s="31">
        <f>IF($A9="","",INDEX('Stock list'!$C$2:$C$301,$A9))</f>
        <v/>
      </c>
      <c r="H9" s="48">
        <f>IF($A9="","",INDEX('Stock list'!$AA$2:$AA$301,$A9))</f>
        <v/>
      </c>
      <c r="I9" s="32">
        <f>IF($A9="","",INDEX('Stock list'!$D$2:$D$301,$A9))</f>
        <v/>
      </c>
      <c r="J9" s="43">
        <f>IF($A9="","",INDEX('Stock list'!$AI$2:$AI$301,$A9))</f>
        <v/>
      </c>
      <c r="K9" s="35" t="n"/>
      <c r="L9" s="24" t="n"/>
    </row>
    <row r="10">
      <c r="A10" s="42">
        <f>IFERROR(MATCH(6,'Stock list'!$AK$2:$AK$301,0),"")</f>
        <v/>
      </c>
      <c r="B10" s="43">
        <f>IF($A10="","",6)</f>
        <v/>
      </c>
      <c r="C10" s="43">
        <f>IF($A10="","",INDEX('Stock list'!$M$2:$M$301,$A10)&amp;"")</f>
        <v/>
      </c>
      <c r="D10" s="43">
        <f>IF($A10="","",INDEX('Stock list'!$A$2:$A$301,$A10))</f>
        <v/>
      </c>
      <c r="E10" s="43">
        <f>IF($A10="","",INDEX('Stock list'!$K$2:$K$301,$A10)&amp;"")</f>
        <v/>
      </c>
      <c r="F10" s="43">
        <f>IF($A10="","",INDEX('Stock list'!$N$2:$N$301,$A10)&amp;"")</f>
        <v/>
      </c>
      <c r="G10" s="31">
        <f>IF($A10="","",INDEX('Stock list'!$C$2:$C$301,$A10))</f>
        <v/>
      </c>
      <c r="H10" s="48">
        <f>IF($A10="","",INDEX('Stock list'!$AA$2:$AA$301,$A10))</f>
        <v/>
      </c>
      <c r="I10" s="32">
        <f>IF($A10="","",INDEX('Stock list'!$D$2:$D$301,$A10))</f>
        <v/>
      </c>
      <c r="J10" s="43">
        <f>IF($A10="","",INDEX('Stock list'!$AI$2:$AI$301,$A10))</f>
        <v/>
      </c>
      <c r="K10" s="35" t="n"/>
      <c r="L10" s="24" t="n"/>
    </row>
    <row r="11">
      <c r="A11" s="42">
        <f>IFERROR(MATCH(7,'Stock list'!$AK$2:$AK$301,0),"")</f>
        <v/>
      </c>
      <c r="B11" s="43">
        <f>IF($A11="","",7)</f>
        <v/>
      </c>
      <c r="C11" s="43">
        <f>IF($A11="","",INDEX('Stock list'!$M$2:$M$301,$A11)&amp;"")</f>
        <v/>
      </c>
      <c r="D11" s="43">
        <f>IF($A11="","",INDEX('Stock list'!$A$2:$A$301,$A11))</f>
        <v/>
      </c>
      <c r="E11" s="43">
        <f>IF($A11="","",INDEX('Stock list'!$K$2:$K$301,$A11)&amp;"")</f>
        <v/>
      </c>
      <c r="F11" s="43">
        <f>IF($A11="","",INDEX('Stock list'!$N$2:$N$301,$A11)&amp;"")</f>
        <v/>
      </c>
      <c r="G11" s="31">
        <f>IF($A11="","",INDEX('Stock list'!$C$2:$C$301,$A11))</f>
        <v/>
      </c>
      <c r="H11" s="48">
        <f>IF($A11="","",INDEX('Stock list'!$AA$2:$AA$301,$A11))</f>
        <v/>
      </c>
      <c r="I11" s="32">
        <f>IF($A11="","",INDEX('Stock list'!$D$2:$D$301,$A11))</f>
        <v/>
      </c>
      <c r="J11" s="43">
        <f>IF($A11="","",INDEX('Stock list'!$AI$2:$AI$301,$A11))</f>
        <v/>
      </c>
      <c r="K11" s="35" t="n"/>
      <c r="L11" s="24" t="n"/>
    </row>
    <row r="12">
      <c r="A12" s="42">
        <f>IFERROR(MATCH(8,'Stock list'!$AK$2:$AK$301,0),"")</f>
        <v/>
      </c>
      <c r="B12" s="43">
        <f>IF($A12="","",8)</f>
        <v/>
      </c>
      <c r="C12" s="43">
        <f>IF($A12="","",INDEX('Stock list'!$M$2:$M$301,$A12)&amp;"")</f>
        <v/>
      </c>
      <c r="D12" s="43">
        <f>IF($A12="","",INDEX('Stock list'!$A$2:$A$301,$A12))</f>
        <v/>
      </c>
      <c r="E12" s="43">
        <f>IF($A12="","",INDEX('Stock list'!$K$2:$K$301,$A12)&amp;"")</f>
        <v/>
      </c>
      <c r="F12" s="43">
        <f>IF($A12="","",INDEX('Stock list'!$N$2:$N$301,$A12)&amp;"")</f>
        <v/>
      </c>
      <c r="G12" s="31">
        <f>IF($A12="","",INDEX('Stock list'!$C$2:$C$301,$A12))</f>
        <v/>
      </c>
      <c r="H12" s="48">
        <f>IF($A12="","",INDEX('Stock list'!$AA$2:$AA$301,$A12))</f>
        <v/>
      </c>
      <c r="I12" s="32">
        <f>IF($A12="","",INDEX('Stock list'!$D$2:$D$301,$A12))</f>
        <v/>
      </c>
      <c r="J12" s="43">
        <f>IF($A12="","",INDEX('Stock list'!$AI$2:$AI$301,$A12))</f>
        <v/>
      </c>
      <c r="K12" s="35" t="n"/>
      <c r="L12" s="24" t="n"/>
    </row>
    <row r="13">
      <c r="A13" s="42">
        <f>IFERROR(MATCH(9,'Stock list'!$AK$2:$AK$301,0),"")</f>
        <v/>
      </c>
      <c r="B13" s="43">
        <f>IF($A13="","",9)</f>
        <v/>
      </c>
      <c r="C13" s="43">
        <f>IF($A13="","",INDEX('Stock list'!$M$2:$M$301,$A13)&amp;"")</f>
        <v/>
      </c>
      <c r="D13" s="43">
        <f>IF($A13="","",INDEX('Stock list'!$A$2:$A$301,$A13))</f>
        <v/>
      </c>
      <c r="E13" s="43">
        <f>IF($A13="","",INDEX('Stock list'!$K$2:$K$301,$A13)&amp;"")</f>
        <v/>
      </c>
      <c r="F13" s="43">
        <f>IF($A13="","",INDEX('Stock list'!$N$2:$N$301,$A13)&amp;"")</f>
        <v/>
      </c>
      <c r="G13" s="31">
        <f>IF($A13="","",INDEX('Stock list'!$C$2:$C$301,$A13))</f>
        <v/>
      </c>
      <c r="H13" s="48">
        <f>IF($A13="","",INDEX('Stock list'!$AA$2:$AA$301,$A13))</f>
        <v/>
      </c>
      <c r="I13" s="32">
        <f>IF($A13="","",INDEX('Stock list'!$D$2:$D$301,$A13))</f>
        <v/>
      </c>
      <c r="J13" s="43">
        <f>IF($A13="","",INDEX('Stock list'!$AI$2:$AI$301,$A13))</f>
        <v/>
      </c>
      <c r="K13" s="35" t="n"/>
      <c r="L13" s="24" t="n"/>
    </row>
    <row r="14">
      <c r="A14" s="42">
        <f>IFERROR(MATCH(10,'Stock list'!$AK$2:$AK$301,0),"")</f>
        <v/>
      </c>
      <c r="B14" s="43">
        <f>IF($A14="","",10)</f>
        <v/>
      </c>
      <c r="C14" s="43">
        <f>IF($A14="","",INDEX('Stock list'!$M$2:$M$301,$A14)&amp;"")</f>
        <v/>
      </c>
      <c r="D14" s="43">
        <f>IF($A14="","",INDEX('Stock list'!$A$2:$A$301,$A14))</f>
        <v/>
      </c>
      <c r="E14" s="43">
        <f>IF($A14="","",INDEX('Stock list'!$K$2:$K$301,$A14)&amp;"")</f>
        <v/>
      </c>
      <c r="F14" s="43">
        <f>IF($A14="","",INDEX('Stock list'!$N$2:$N$301,$A14)&amp;"")</f>
        <v/>
      </c>
      <c r="G14" s="31">
        <f>IF($A14="","",INDEX('Stock list'!$C$2:$C$301,$A14))</f>
        <v/>
      </c>
      <c r="H14" s="48">
        <f>IF($A14="","",INDEX('Stock list'!$AA$2:$AA$301,$A14))</f>
        <v/>
      </c>
      <c r="I14" s="32">
        <f>IF($A14="","",INDEX('Stock list'!$D$2:$D$301,$A14))</f>
        <v/>
      </c>
      <c r="J14" s="43">
        <f>IF($A14="","",INDEX('Stock list'!$AI$2:$AI$301,$A14))</f>
        <v/>
      </c>
      <c r="K14" s="35" t="n"/>
      <c r="L14" s="24" t="n"/>
    </row>
    <row r="15">
      <c r="A15" s="42">
        <f>IFERROR(MATCH(11,'Stock list'!$AK$2:$AK$301,0),"")</f>
        <v/>
      </c>
      <c r="B15" s="43">
        <f>IF($A15="","",11)</f>
        <v/>
      </c>
      <c r="C15" s="43">
        <f>IF($A15="","",INDEX('Stock list'!$M$2:$M$301,$A15)&amp;"")</f>
        <v/>
      </c>
      <c r="D15" s="43">
        <f>IF($A15="","",INDEX('Stock list'!$A$2:$A$301,$A15))</f>
        <v/>
      </c>
      <c r="E15" s="43">
        <f>IF($A15="","",INDEX('Stock list'!$K$2:$K$301,$A15)&amp;"")</f>
        <v/>
      </c>
      <c r="F15" s="43">
        <f>IF($A15="","",INDEX('Stock list'!$N$2:$N$301,$A15)&amp;"")</f>
        <v/>
      </c>
      <c r="G15" s="31">
        <f>IF($A15="","",INDEX('Stock list'!$C$2:$C$301,$A15))</f>
        <v/>
      </c>
      <c r="H15" s="48">
        <f>IF($A15="","",INDEX('Stock list'!$AA$2:$AA$301,$A15))</f>
        <v/>
      </c>
      <c r="I15" s="32">
        <f>IF($A15="","",INDEX('Stock list'!$D$2:$D$301,$A15))</f>
        <v/>
      </c>
      <c r="J15" s="43">
        <f>IF($A15="","",INDEX('Stock list'!$AI$2:$AI$301,$A15))</f>
        <v/>
      </c>
      <c r="K15" s="35" t="n"/>
      <c r="L15" s="24" t="n"/>
    </row>
    <row r="16">
      <c r="A16" s="42">
        <f>IFERROR(MATCH(12,'Stock list'!$AK$2:$AK$301,0),"")</f>
        <v/>
      </c>
      <c r="B16" s="43">
        <f>IF($A16="","",12)</f>
        <v/>
      </c>
      <c r="C16" s="43">
        <f>IF($A16="","",INDEX('Stock list'!$M$2:$M$301,$A16)&amp;"")</f>
        <v/>
      </c>
      <c r="D16" s="43">
        <f>IF($A16="","",INDEX('Stock list'!$A$2:$A$301,$A16))</f>
        <v/>
      </c>
      <c r="E16" s="43">
        <f>IF($A16="","",INDEX('Stock list'!$K$2:$K$301,$A16)&amp;"")</f>
        <v/>
      </c>
      <c r="F16" s="43">
        <f>IF($A16="","",INDEX('Stock list'!$N$2:$N$301,$A16)&amp;"")</f>
        <v/>
      </c>
      <c r="G16" s="31">
        <f>IF($A16="","",INDEX('Stock list'!$C$2:$C$301,$A16))</f>
        <v/>
      </c>
      <c r="H16" s="48">
        <f>IF($A16="","",INDEX('Stock list'!$AA$2:$AA$301,$A16))</f>
        <v/>
      </c>
      <c r="I16" s="32">
        <f>IF($A16="","",INDEX('Stock list'!$D$2:$D$301,$A16))</f>
        <v/>
      </c>
      <c r="J16" s="43">
        <f>IF($A16="","",INDEX('Stock list'!$AI$2:$AI$301,$A16))</f>
        <v/>
      </c>
      <c r="K16" s="35" t="n"/>
      <c r="L16" s="24" t="n"/>
    </row>
    <row r="17">
      <c r="A17" s="42">
        <f>IFERROR(MATCH(13,'Stock list'!$AK$2:$AK$301,0),"")</f>
        <v/>
      </c>
      <c r="B17" s="43">
        <f>IF($A17="","",13)</f>
        <v/>
      </c>
      <c r="C17" s="43">
        <f>IF($A17="","",INDEX('Stock list'!$M$2:$M$301,$A17)&amp;"")</f>
        <v/>
      </c>
      <c r="D17" s="43">
        <f>IF($A17="","",INDEX('Stock list'!$A$2:$A$301,$A17))</f>
        <v/>
      </c>
      <c r="E17" s="43">
        <f>IF($A17="","",INDEX('Stock list'!$K$2:$K$301,$A17)&amp;"")</f>
        <v/>
      </c>
      <c r="F17" s="43">
        <f>IF($A17="","",INDEX('Stock list'!$N$2:$N$301,$A17)&amp;"")</f>
        <v/>
      </c>
      <c r="G17" s="31">
        <f>IF($A17="","",INDEX('Stock list'!$C$2:$C$301,$A17))</f>
        <v/>
      </c>
      <c r="H17" s="48">
        <f>IF($A17="","",INDEX('Stock list'!$AA$2:$AA$301,$A17))</f>
        <v/>
      </c>
      <c r="I17" s="32">
        <f>IF($A17="","",INDEX('Stock list'!$D$2:$D$301,$A17))</f>
        <v/>
      </c>
      <c r="J17" s="43">
        <f>IF($A17="","",INDEX('Stock list'!$AI$2:$AI$301,$A17))</f>
        <v/>
      </c>
      <c r="K17" s="35" t="n"/>
      <c r="L17" s="24" t="n"/>
    </row>
    <row r="18">
      <c r="A18" s="42">
        <f>IFERROR(MATCH(14,'Stock list'!$AK$2:$AK$301,0),"")</f>
        <v/>
      </c>
      <c r="B18" s="43">
        <f>IF($A18="","",14)</f>
        <v/>
      </c>
      <c r="C18" s="43">
        <f>IF($A18="","",INDEX('Stock list'!$M$2:$M$301,$A18)&amp;"")</f>
        <v/>
      </c>
      <c r="D18" s="43">
        <f>IF($A18="","",INDEX('Stock list'!$A$2:$A$301,$A18))</f>
        <v/>
      </c>
      <c r="E18" s="43">
        <f>IF($A18="","",INDEX('Stock list'!$K$2:$K$301,$A18)&amp;"")</f>
        <v/>
      </c>
      <c r="F18" s="43">
        <f>IF($A18="","",INDEX('Stock list'!$N$2:$N$301,$A18)&amp;"")</f>
        <v/>
      </c>
      <c r="G18" s="31">
        <f>IF($A18="","",INDEX('Stock list'!$C$2:$C$301,$A18))</f>
        <v/>
      </c>
      <c r="H18" s="48">
        <f>IF($A18="","",INDEX('Stock list'!$AA$2:$AA$301,$A18))</f>
        <v/>
      </c>
      <c r="I18" s="32">
        <f>IF($A18="","",INDEX('Stock list'!$D$2:$D$301,$A18))</f>
        <v/>
      </c>
      <c r="J18" s="43">
        <f>IF($A18="","",INDEX('Stock list'!$AI$2:$AI$301,$A18))</f>
        <v/>
      </c>
      <c r="K18" s="35" t="n"/>
      <c r="L18" s="24" t="n"/>
    </row>
    <row r="19">
      <c r="A19" s="42">
        <f>IFERROR(MATCH(15,'Stock list'!$AK$2:$AK$301,0),"")</f>
        <v/>
      </c>
      <c r="B19" s="43">
        <f>IF($A19="","",15)</f>
        <v/>
      </c>
      <c r="C19" s="43">
        <f>IF($A19="","",INDEX('Stock list'!$M$2:$M$301,$A19)&amp;"")</f>
        <v/>
      </c>
      <c r="D19" s="43">
        <f>IF($A19="","",INDEX('Stock list'!$A$2:$A$301,$A19))</f>
        <v/>
      </c>
      <c r="E19" s="43">
        <f>IF($A19="","",INDEX('Stock list'!$K$2:$K$301,$A19)&amp;"")</f>
        <v/>
      </c>
      <c r="F19" s="43">
        <f>IF($A19="","",INDEX('Stock list'!$N$2:$N$301,$A19)&amp;"")</f>
        <v/>
      </c>
      <c r="G19" s="31">
        <f>IF($A19="","",INDEX('Stock list'!$C$2:$C$301,$A19))</f>
        <v/>
      </c>
      <c r="H19" s="48">
        <f>IF($A19="","",INDEX('Stock list'!$AA$2:$AA$301,$A19))</f>
        <v/>
      </c>
      <c r="I19" s="32">
        <f>IF($A19="","",INDEX('Stock list'!$D$2:$D$301,$A19))</f>
        <v/>
      </c>
      <c r="J19" s="43">
        <f>IF($A19="","",INDEX('Stock list'!$AI$2:$AI$301,$A19))</f>
        <v/>
      </c>
      <c r="K19" s="35" t="n"/>
      <c r="L19" s="24" t="n"/>
    </row>
    <row r="20">
      <c r="A20" s="42">
        <f>IFERROR(MATCH(16,'Stock list'!$AK$2:$AK$301,0),"")</f>
        <v/>
      </c>
      <c r="B20" s="43">
        <f>IF($A20="","",16)</f>
        <v/>
      </c>
      <c r="C20" s="43">
        <f>IF($A20="","",INDEX('Stock list'!$M$2:$M$301,$A20)&amp;"")</f>
        <v/>
      </c>
      <c r="D20" s="43">
        <f>IF($A20="","",INDEX('Stock list'!$A$2:$A$301,$A20))</f>
        <v/>
      </c>
      <c r="E20" s="43">
        <f>IF($A20="","",INDEX('Stock list'!$K$2:$K$301,$A20)&amp;"")</f>
        <v/>
      </c>
      <c r="F20" s="43">
        <f>IF($A20="","",INDEX('Stock list'!$N$2:$N$301,$A20)&amp;"")</f>
        <v/>
      </c>
      <c r="G20" s="31">
        <f>IF($A20="","",INDEX('Stock list'!$C$2:$C$301,$A20))</f>
        <v/>
      </c>
      <c r="H20" s="48">
        <f>IF($A20="","",INDEX('Stock list'!$AA$2:$AA$301,$A20))</f>
        <v/>
      </c>
      <c r="I20" s="32">
        <f>IF($A20="","",INDEX('Stock list'!$D$2:$D$301,$A20))</f>
        <v/>
      </c>
      <c r="J20" s="43">
        <f>IF($A20="","",INDEX('Stock list'!$AI$2:$AI$301,$A20))</f>
        <v/>
      </c>
      <c r="K20" s="35" t="n"/>
      <c r="L20" s="24" t="n"/>
    </row>
    <row r="21">
      <c r="A21" s="42">
        <f>IFERROR(MATCH(17,'Stock list'!$AK$2:$AK$301,0),"")</f>
        <v/>
      </c>
      <c r="B21" s="43">
        <f>IF($A21="","",17)</f>
        <v/>
      </c>
      <c r="C21" s="43">
        <f>IF($A21="","",INDEX('Stock list'!$M$2:$M$301,$A21)&amp;"")</f>
        <v/>
      </c>
      <c r="D21" s="43">
        <f>IF($A21="","",INDEX('Stock list'!$A$2:$A$301,$A21))</f>
        <v/>
      </c>
      <c r="E21" s="43">
        <f>IF($A21="","",INDEX('Stock list'!$K$2:$K$301,$A21)&amp;"")</f>
        <v/>
      </c>
      <c r="F21" s="43">
        <f>IF($A21="","",INDEX('Stock list'!$N$2:$N$301,$A21)&amp;"")</f>
        <v/>
      </c>
      <c r="G21" s="31">
        <f>IF($A21="","",INDEX('Stock list'!$C$2:$C$301,$A21))</f>
        <v/>
      </c>
      <c r="H21" s="48">
        <f>IF($A21="","",INDEX('Stock list'!$AA$2:$AA$301,$A21))</f>
        <v/>
      </c>
      <c r="I21" s="32">
        <f>IF($A21="","",INDEX('Stock list'!$D$2:$D$301,$A21))</f>
        <v/>
      </c>
      <c r="J21" s="43">
        <f>IF($A21="","",INDEX('Stock list'!$AI$2:$AI$301,$A21))</f>
        <v/>
      </c>
      <c r="K21" s="35" t="n"/>
      <c r="L21" s="24" t="n"/>
    </row>
    <row r="22">
      <c r="A22" s="42">
        <f>IFERROR(MATCH(18,'Stock list'!$AK$2:$AK$301,0),"")</f>
        <v/>
      </c>
      <c r="B22" s="43">
        <f>IF($A22="","",18)</f>
        <v/>
      </c>
      <c r="C22" s="43">
        <f>IF($A22="","",INDEX('Stock list'!$M$2:$M$301,$A22)&amp;"")</f>
        <v/>
      </c>
      <c r="D22" s="43">
        <f>IF($A22="","",INDEX('Stock list'!$A$2:$A$301,$A22))</f>
        <v/>
      </c>
      <c r="E22" s="43">
        <f>IF($A22="","",INDEX('Stock list'!$K$2:$K$301,$A22)&amp;"")</f>
        <v/>
      </c>
      <c r="F22" s="43">
        <f>IF($A22="","",INDEX('Stock list'!$N$2:$N$301,$A22)&amp;"")</f>
        <v/>
      </c>
      <c r="G22" s="31">
        <f>IF($A22="","",INDEX('Stock list'!$C$2:$C$301,$A22))</f>
        <v/>
      </c>
      <c r="H22" s="48">
        <f>IF($A22="","",INDEX('Stock list'!$AA$2:$AA$301,$A22))</f>
        <v/>
      </c>
      <c r="I22" s="32">
        <f>IF($A22="","",INDEX('Stock list'!$D$2:$D$301,$A22))</f>
        <v/>
      </c>
      <c r="J22" s="43">
        <f>IF($A22="","",INDEX('Stock list'!$AI$2:$AI$301,$A22))</f>
        <v/>
      </c>
      <c r="K22" s="35" t="n"/>
      <c r="L22" s="24" t="n"/>
    </row>
    <row r="23">
      <c r="A23" s="42">
        <f>IFERROR(MATCH(19,'Stock list'!$AK$2:$AK$301,0),"")</f>
        <v/>
      </c>
      <c r="B23" s="43">
        <f>IF($A23="","",19)</f>
        <v/>
      </c>
      <c r="C23" s="43">
        <f>IF($A23="","",INDEX('Stock list'!$M$2:$M$301,$A23)&amp;"")</f>
        <v/>
      </c>
      <c r="D23" s="43">
        <f>IF($A23="","",INDEX('Stock list'!$A$2:$A$301,$A23))</f>
        <v/>
      </c>
      <c r="E23" s="43">
        <f>IF($A23="","",INDEX('Stock list'!$K$2:$K$301,$A23)&amp;"")</f>
        <v/>
      </c>
      <c r="F23" s="43">
        <f>IF($A23="","",INDEX('Stock list'!$N$2:$N$301,$A23)&amp;"")</f>
        <v/>
      </c>
      <c r="G23" s="31">
        <f>IF($A23="","",INDEX('Stock list'!$C$2:$C$301,$A23))</f>
        <v/>
      </c>
      <c r="H23" s="48">
        <f>IF($A23="","",INDEX('Stock list'!$AA$2:$AA$301,$A23))</f>
        <v/>
      </c>
      <c r="I23" s="32">
        <f>IF($A23="","",INDEX('Stock list'!$D$2:$D$301,$A23))</f>
        <v/>
      </c>
      <c r="J23" s="43">
        <f>IF($A23="","",INDEX('Stock list'!$AI$2:$AI$301,$A23))</f>
        <v/>
      </c>
      <c r="K23" s="35" t="n"/>
      <c r="L23" s="24" t="n"/>
    </row>
    <row r="24">
      <c r="A24" s="42">
        <f>IFERROR(MATCH(20,'Stock list'!$AK$2:$AK$301,0),"")</f>
        <v/>
      </c>
      <c r="B24" s="43">
        <f>IF($A24="","",20)</f>
        <v/>
      </c>
      <c r="C24" s="43">
        <f>IF($A24="","",INDEX('Stock list'!$M$2:$M$301,$A24)&amp;"")</f>
        <v/>
      </c>
      <c r="D24" s="43">
        <f>IF($A24="","",INDEX('Stock list'!$A$2:$A$301,$A24))</f>
        <v/>
      </c>
      <c r="E24" s="43">
        <f>IF($A24="","",INDEX('Stock list'!$K$2:$K$301,$A24)&amp;"")</f>
        <v/>
      </c>
      <c r="F24" s="43">
        <f>IF($A24="","",INDEX('Stock list'!$N$2:$N$301,$A24)&amp;"")</f>
        <v/>
      </c>
      <c r="G24" s="31">
        <f>IF($A24="","",INDEX('Stock list'!$C$2:$C$301,$A24))</f>
        <v/>
      </c>
      <c r="H24" s="48">
        <f>IF($A24="","",INDEX('Stock list'!$AA$2:$AA$301,$A24))</f>
        <v/>
      </c>
      <c r="I24" s="32">
        <f>IF($A24="","",INDEX('Stock list'!$D$2:$D$301,$A24))</f>
        <v/>
      </c>
      <c r="J24" s="43">
        <f>IF($A24="","",INDEX('Stock list'!$AI$2:$AI$301,$A24))</f>
        <v/>
      </c>
      <c r="K24" s="35" t="n"/>
      <c r="L24" s="24" t="n"/>
    </row>
    <row r="25">
      <c r="A25" s="42">
        <f>IFERROR(MATCH(21,'Stock list'!$AK$2:$AK$301,0),"")</f>
        <v/>
      </c>
      <c r="B25" s="43">
        <f>IF($A25="","",21)</f>
        <v/>
      </c>
      <c r="C25" s="43">
        <f>IF($A25="","",INDEX('Stock list'!$M$2:$M$301,$A25)&amp;"")</f>
        <v/>
      </c>
      <c r="D25" s="43">
        <f>IF($A25="","",INDEX('Stock list'!$A$2:$A$301,$A25))</f>
        <v/>
      </c>
      <c r="E25" s="43">
        <f>IF($A25="","",INDEX('Stock list'!$K$2:$K$301,$A25)&amp;"")</f>
        <v/>
      </c>
      <c r="F25" s="43">
        <f>IF($A25="","",INDEX('Stock list'!$N$2:$N$301,$A25)&amp;"")</f>
        <v/>
      </c>
      <c r="G25" s="31">
        <f>IF($A25="","",INDEX('Stock list'!$C$2:$C$301,$A25))</f>
        <v/>
      </c>
      <c r="H25" s="48">
        <f>IF($A25="","",INDEX('Stock list'!$AA$2:$AA$301,$A25))</f>
        <v/>
      </c>
      <c r="I25" s="32">
        <f>IF($A25="","",INDEX('Stock list'!$D$2:$D$301,$A25))</f>
        <v/>
      </c>
      <c r="J25" s="43">
        <f>IF($A25="","",INDEX('Stock list'!$AI$2:$AI$301,$A25))</f>
        <v/>
      </c>
      <c r="K25" s="35" t="n"/>
      <c r="L25" s="24" t="n"/>
    </row>
    <row r="26">
      <c r="A26" s="42">
        <f>IFERROR(MATCH(22,'Stock list'!$AK$2:$AK$301,0),"")</f>
        <v/>
      </c>
      <c r="B26" s="43">
        <f>IF($A26="","",22)</f>
        <v/>
      </c>
      <c r="C26" s="43">
        <f>IF($A26="","",INDEX('Stock list'!$M$2:$M$301,$A26)&amp;"")</f>
        <v/>
      </c>
      <c r="D26" s="43">
        <f>IF($A26="","",INDEX('Stock list'!$A$2:$A$301,$A26))</f>
        <v/>
      </c>
      <c r="E26" s="43">
        <f>IF($A26="","",INDEX('Stock list'!$K$2:$K$301,$A26)&amp;"")</f>
        <v/>
      </c>
      <c r="F26" s="43">
        <f>IF($A26="","",INDEX('Stock list'!$N$2:$N$301,$A26)&amp;"")</f>
        <v/>
      </c>
      <c r="G26" s="31">
        <f>IF($A26="","",INDEX('Stock list'!$C$2:$C$301,$A26))</f>
        <v/>
      </c>
      <c r="H26" s="48">
        <f>IF($A26="","",INDEX('Stock list'!$AA$2:$AA$301,$A26))</f>
        <v/>
      </c>
      <c r="I26" s="32">
        <f>IF($A26="","",INDEX('Stock list'!$D$2:$D$301,$A26))</f>
        <v/>
      </c>
      <c r="J26" s="43">
        <f>IF($A26="","",INDEX('Stock list'!$AI$2:$AI$301,$A26))</f>
        <v/>
      </c>
      <c r="K26" s="35" t="n"/>
      <c r="L26" s="24" t="n"/>
    </row>
    <row r="27">
      <c r="A27" s="42">
        <f>IFERROR(MATCH(23,'Stock list'!$AK$2:$AK$301,0),"")</f>
        <v/>
      </c>
      <c r="B27" s="43">
        <f>IF($A27="","",23)</f>
        <v/>
      </c>
      <c r="C27" s="43">
        <f>IF($A27="","",INDEX('Stock list'!$M$2:$M$301,$A27)&amp;"")</f>
        <v/>
      </c>
      <c r="D27" s="43">
        <f>IF($A27="","",INDEX('Stock list'!$A$2:$A$301,$A27))</f>
        <v/>
      </c>
      <c r="E27" s="43">
        <f>IF($A27="","",INDEX('Stock list'!$K$2:$K$301,$A27)&amp;"")</f>
        <v/>
      </c>
      <c r="F27" s="43">
        <f>IF($A27="","",INDEX('Stock list'!$N$2:$N$301,$A27)&amp;"")</f>
        <v/>
      </c>
      <c r="G27" s="31">
        <f>IF($A27="","",INDEX('Stock list'!$C$2:$C$301,$A27))</f>
        <v/>
      </c>
      <c r="H27" s="48">
        <f>IF($A27="","",INDEX('Stock list'!$AA$2:$AA$301,$A27))</f>
        <v/>
      </c>
      <c r="I27" s="32">
        <f>IF($A27="","",INDEX('Stock list'!$D$2:$D$301,$A27))</f>
        <v/>
      </c>
      <c r="J27" s="43">
        <f>IF($A27="","",INDEX('Stock list'!$AI$2:$AI$301,$A27))</f>
        <v/>
      </c>
      <c r="K27" s="35" t="n"/>
      <c r="L27" s="24" t="n"/>
    </row>
    <row r="28">
      <c r="A28" s="42">
        <f>IFERROR(MATCH(24,'Stock list'!$AK$2:$AK$301,0),"")</f>
        <v/>
      </c>
      <c r="B28" s="43">
        <f>IF($A28="","",24)</f>
        <v/>
      </c>
      <c r="C28" s="43">
        <f>IF($A28="","",INDEX('Stock list'!$M$2:$M$301,$A28)&amp;"")</f>
        <v/>
      </c>
      <c r="D28" s="43">
        <f>IF($A28="","",INDEX('Stock list'!$A$2:$A$301,$A28))</f>
        <v/>
      </c>
      <c r="E28" s="43">
        <f>IF($A28="","",INDEX('Stock list'!$K$2:$K$301,$A28)&amp;"")</f>
        <v/>
      </c>
      <c r="F28" s="43">
        <f>IF($A28="","",INDEX('Stock list'!$N$2:$N$301,$A28)&amp;"")</f>
        <v/>
      </c>
      <c r="G28" s="31">
        <f>IF($A28="","",INDEX('Stock list'!$C$2:$C$301,$A28))</f>
        <v/>
      </c>
      <c r="H28" s="48">
        <f>IF($A28="","",INDEX('Stock list'!$AA$2:$AA$301,$A28))</f>
        <v/>
      </c>
      <c r="I28" s="32">
        <f>IF($A28="","",INDEX('Stock list'!$D$2:$D$301,$A28))</f>
        <v/>
      </c>
      <c r="J28" s="43">
        <f>IF($A28="","",INDEX('Stock list'!$AI$2:$AI$301,$A28))</f>
        <v/>
      </c>
      <c r="K28" s="35" t="n"/>
      <c r="L28" s="24" t="n"/>
    </row>
    <row r="29">
      <c r="A29" s="42">
        <f>IFERROR(MATCH(25,'Stock list'!$AK$2:$AK$301,0),"")</f>
        <v/>
      </c>
      <c r="B29" s="43">
        <f>IF($A29="","",25)</f>
        <v/>
      </c>
      <c r="C29" s="43">
        <f>IF($A29="","",INDEX('Stock list'!$M$2:$M$301,$A29)&amp;"")</f>
        <v/>
      </c>
      <c r="D29" s="43">
        <f>IF($A29="","",INDEX('Stock list'!$A$2:$A$301,$A29))</f>
        <v/>
      </c>
      <c r="E29" s="43">
        <f>IF($A29="","",INDEX('Stock list'!$K$2:$K$301,$A29)&amp;"")</f>
        <v/>
      </c>
      <c r="F29" s="43">
        <f>IF($A29="","",INDEX('Stock list'!$N$2:$N$301,$A29)&amp;"")</f>
        <v/>
      </c>
      <c r="G29" s="31">
        <f>IF($A29="","",INDEX('Stock list'!$C$2:$C$301,$A29))</f>
        <v/>
      </c>
      <c r="H29" s="48">
        <f>IF($A29="","",INDEX('Stock list'!$AA$2:$AA$301,$A29))</f>
        <v/>
      </c>
      <c r="I29" s="32">
        <f>IF($A29="","",INDEX('Stock list'!$D$2:$D$301,$A29))</f>
        <v/>
      </c>
      <c r="J29" s="43">
        <f>IF($A29="","",INDEX('Stock list'!$AI$2:$AI$301,$A29))</f>
        <v/>
      </c>
      <c r="K29" s="35" t="n"/>
      <c r="L29" s="24" t="n"/>
    </row>
    <row r="30">
      <c r="A30" s="42">
        <f>IFERROR(MATCH(26,'Stock list'!$AK$2:$AK$301,0),"")</f>
        <v/>
      </c>
      <c r="B30" s="43">
        <f>IF($A30="","",26)</f>
        <v/>
      </c>
      <c r="C30" s="43">
        <f>IF($A30="","",INDEX('Stock list'!$M$2:$M$301,$A30)&amp;"")</f>
        <v/>
      </c>
      <c r="D30" s="43">
        <f>IF($A30="","",INDEX('Stock list'!$A$2:$A$301,$A30))</f>
        <v/>
      </c>
      <c r="E30" s="43">
        <f>IF($A30="","",INDEX('Stock list'!$K$2:$K$301,$A30)&amp;"")</f>
        <v/>
      </c>
      <c r="F30" s="43">
        <f>IF($A30="","",INDEX('Stock list'!$N$2:$N$301,$A30)&amp;"")</f>
        <v/>
      </c>
      <c r="G30" s="31">
        <f>IF($A30="","",INDEX('Stock list'!$C$2:$C$301,$A30))</f>
        <v/>
      </c>
      <c r="H30" s="48">
        <f>IF($A30="","",INDEX('Stock list'!$AA$2:$AA$301,$A30))</f>
        <v/>
      </c>
      <c r="I30" s="32">
        <f>IF($A30="","",INDEX('Stock list'!$D$2:$D$301,$A30))</f>
        <v/>
      </c>
      <c r="J30" s="43">
        <f>IF($A30="","",INDEX('Stock list'!$AI$2:$AI$301,$A30))</f>
        <v/>
      </c>
      <c r="K30" s="35" t="n"/>
      <c r="L30" s="24" t="n"/>
    </row>
    <row r="31">
      <c r="A31" s="42">
        <f>IFERROR(MATCH(27,'Stock list'!$AK$2:$AK$301,0),"")</f>
        <v/>
      </c>
      <c r="B31" s="43">
        <f>IF($A31="","",27)</f>
        <v/>
      </c>
      <c r="C31" s="43">
        <f>IF($A31="","",INDEX('Stock list'!$M$2:$M$301,$A31)&amp;"")</f>
        <v/>
      </c>
      <c r="D31" s="43">
        <f>IF($A31="","",INDEX('Stock list'!$A$2:$A$301,$A31))</f>
        <v/>
      </c>
      <c r="E31" s="43">
        <f>IF($A31="","",INDEX('Stock list'!$K$2:$K$301,$A31)&amp;"")</f>
        <v/>
      </c>
      <c r="F31" s="43">
        <f>IF($A31="","",INDEX('Stock list'!$N$2:$N$301,$A31)&amp;"")</f>
        <v/>
      </c>
      <c r="G31" s="31">
        <f>IF($A31="","",INDEX('Stock list'!$C$2:$C$301,$A31))</f>
        <v/>
      </c>
      <c r="H31" s="48">
        <f>IF($A31="","",INDEX('Stock list'!$AA$2:$AA$301,$A31))</f>
        <v/>
      </c>
      <c r="I31" s="32">
        <f>IF($A31="","",INDEX('Stock list'!$D$2:$D$301,$A31))</f>
        <v/>
      </c>
      <c r="J31" s="43">
        <f>IF($A31="","",INDEX('Stock list'!$AI$2:$AI$301,$A31))</f>
        <v/>
      </c>
      <c r="K31" s="35" t="n"/>
      <c r="L31" s="24" t="n"/>
    </row>
    <row r="32">
      <c r="A32" s="42">
        <f>IFERROR(MATCH(28,'Stock list'!$AK$2:$AK$301,0),"")</f>
        <v/>
      </c>
      <c r="B32" s="43">
        <f>IF($A32="","",28)</f>
        <v/>
      </c>
      <c r="C32" s="43">
        <f>IF($A32="","",INDEX('Stock list'!$M$2:$M$301,$A32)&amp;"")</f>
        <v/>
      </c>
      <c r="D32" s="43">
        <f>IF($A32="","",INDEX('Stock list'!$A$2:$A$301,$A32))</f>
        <v/>
      </c>
      <c r="E32" s="43">
        <f>IF($A32="","",INDEX('Stock list'!$K$2:$K$301,$A32)&amp;"")</f>
        <v/>
      </c>
      <c r="F32" s="43">
        <f>IF($A32="","",INDEX('Stock list'!$N$2:$N$301,$A32)&amp;"")</f>
        <v/>
      </c>
      <c r="G32" s="31">
        <f>IF($A32="","",INDEX('Stock list'!$C$2:$C$301,$A32))</f>
        <v/>
      </c>
      <c r="H32" s="48">
        <f>IF($A32="","",INDEX('Stock list'!$AA$2:$AA$301,$A32))</f>
        <v/>
      </c>
      <c r="I32" s="32">
        <f>IF($A32="","",INDEX('Stock list'!$D$2:$D$301,$A32))</f>
        <v/>
      </c>
      <c r="J32" s="43">
        <f>IF($A32="","",INDEX('Stock list'!$AI$2:$AI$301,$A32))</f>
        <v/>
      </c>
      <c r="K32" s="35" t="n"/>
      <c r="L32" s="24" t="n"/>
    </row>
    <row r="33">
      <c r="A33" s="42">
        <f>IFERROR(MATCH(29,'Stock list'!$AK$2:$AK$301,0),"")</f>
        <v/>
      </c>
      <c r="B33" s="43">
        <f>IF($A33="","",29)</f>
        <v/>
      </c>
      <c r="C33" s="43">
        <f>IF($A33="","",INDEX('Stock list'!$M$2:$M$301,$A33)&amp;"")</f>
        <v/>
      </c>
      <c r="D33" s="43">
        <f>IF($A33="","",INDEX('Stock list'!$A$2:$A$301,$A33))</f>
        <v/>
      </c>
      <c r="E33" s="43">
        <f>IF($A33="","",INDEX('Stock list'!$K$2:$K$301,$A33)&amp;"")</f>
        <v/>
      </c>
      <c r="F33" s="43">
        <f>IF($A33="","",INDEX('Stock list'!$N$2:$N$301,$A33)&amp;"")</f>
        <v/>
      </c>
      <c r="G33" s="31">
        <f>IF($A33="","",INDEX('Stock list'!$C$2:$C$301,$A33))</f>
        <v/>
      </c>
      <c r="H33" s="48">
        <f>IF($A33="","",INDEX('Stock list'!$AA$2:$AA$301,$A33))</f>
        <v/>
      </c>
      <c r="I33" s="32">
        <f>IF($A33="","",INDEX('Stock list'!$D$2:$D$301,$A33))</f>
        <v/>
      </c>
      <c r="J33" s="43">
        <f>IF($A33="","",INDEX('Stock list'!$AI$2:$AI$301,$A33))</f>
        <v/>
      </c>
      <c r="K33" s="35" t="n"/>
      <c r="L33" s="24" t="n"/>
    </row>
    <row r="34">
      <c r="A34" s="42">
        <f>IFERROR(MATCH(30,'Stock list'!$AK$2:$AK$301,0),"")</f>
        <v/>
      </c>
      <c r="B34" s="43">
        <f>IF($A34="","",30)</f>
        <v/>
      </c>
      <c r="C34" s="43">
        <f>IF($A34="","",INDEX('Stock list'!$M$2:$M$301,$A34)&amp;"")</f>
        <v/>
      </c>
      <c r="D34" s="43">
        <f>IF($A34="","",INDEX('Stock list'!$A$2:$A$301,$A34))</f>
        <v/>
      </c>
      <c r="E34" s="43">
        <f>IF($A34="","",INDEX('Stock list'!$K$2:$K$301,$A34)&amp;"")</f>
        <v/>
      </c>
      <c r="F34" s="43">
        <f>IF($A34="","",INDEX('Stock list'!$N$2:$N$301,$A34)&amp;"")</f>
        <v/>
      </c>
      <c r="G34" s="31">
        <f>IF($A34="","",INDEX('Stock list'!$C$2:$C$301,$A34))</f>
        <v/>
      </c>
      <c r="H34" s="48">
        <f>IF($A34="","",INDEX('Stock list'!$AA$2:$AA$301,$A34))</f>
        <v/>
      </c>
      <c r="I34" s="32">
        <f>IF($A34="","",INDEX('Stock list'!$D$2:$D$301,$A34))</f>
        <v/>
      </c>
      <c r="J34" s="43">
        <f>IF($A34="","",INDEX('Stock list'!$AI$2:$AI$301,$A34))</f>
        <v/>
      </c>
      <c r="K34" s="35" t="n"/>
      <c r="L34" s="24" t="n"/>
    </row>
    <row r="35">
      <c r="A35" s="42">
        <f>IFERROR(MATCH(31,'Stock list'!$AK$2:$AK$301,0),"")</f>
        <v/>
      </c>
      <c r="B35" s="43">
        <f>IF($A35="","",31)</f>
        <v/>
      </c>
      <c r="C35" s="43">
        <f>IF($A35="","",INDEX('Stock list'!$M$2:$M$301,$A35)&amp;"")</f>
        <v/>
      </c>
      <c r="D35" s="43">
        <f>IF($A35="","",INDEX('Stock list'!$A$2:$A$301,$A35))</f>
        <v/>
      </c>
      <c r="E35" s="43">
        <f>IF($A35="","",INDEX('Stock list'!$K$2:$K$301,$A35)&amp;"")</f>
        <v/>
      </c>
      <c r="F35" s="43">
        <f>IF($A35="","",INDEX('Stock list'!$N$2:$N$301,$A35)&amp;"")</f>
        <v/>
      </c>
      <c r="G35" s="31">
        <f>IF($A35="","",INDEX('Stock list'!$C$2:$C$301,$A35))</f>
        <v/>
      </c>
      <c r="H35" s="48">
        <f>IF($A35="","",INDEX('Stock list'!$AA$2:$AA$301,$A35))</f>
        <v/>
      </c>
      <c r="I35" s="32">
        <f>IF($A35="","",INDEX('Stock list'!$D$2:$D$301,$A35))</f>
        <v/>
      </c>
      <c r="J35" s="43">
        <f>IF($A35="","",INDEX('Stock list'!$AI$2:$AI$301,$A35))</f>
        <v/>
      </c>
      <c r="K35" s="35" t="n"/>
      <c r="L35" s="24" t="n"/>
    </row>
    <row r="36">
      <c r="A36" s="42">
        <f>IFERROR(MATCH(32,'Stock list'!$AK$2:$AK$301,0),"")</f>
        <v/>
      </c>
      <c r="B36" s="43">
        <f>IF($A36="","",32)</f>
        <v/>
      </c>
      <c r="C36" s="43">
        <f>IF($A36="","",INDEX('Stock list'!$M$2:$M$301,$A36)&amp;"")</f>
        <v/>
      </c>
      <c r="D36" s="43">
        <f>IF($A36="","",INDEX('Stock list'!$A$2:$A$301,$A36))</f>
        <v/>
      </c>
      <c r="E36" s="43">
        <f>IF($A36="","",INDEX('Stock list'!$K$2:$K$301,$A36)&amp;"")</f>
        <v/>
      </c>
      <c r="F36" s="43">
        <f>IF($A36="","",INDEX('Stock list'!$N$2:$N$301,$A36)&amp;"")</f>
        <v/>
      </c>
      <c r="G36" s="31">
        <f>IF($A36="","",INDEX('Stock list'!$C$2:$C$301,$A36))</f>
        <v/>
      </c>
      <c r="H36" s="48">
        <f>IF($A36="","",INDEX('Stock list'!$AA$2:$AA$301,$A36))</f>
        <v/>
      </c>
      <c r="I36" s="32">
        <f>IF($A36="","",INDEX('Stock list'!$D$2:$D$301,$A36))</f>
        <v/>
      </c>
      <c r="J36" s="43">
        <f>IF($A36="","",INDEX('Stock list'!$AI$2:$AI$301,$A36))</f>
        <v/>
      </c>
      <c r="K36" s="35" t="n"/>
      <c r="L36" s="24" t="n"/>
    </row>
    <row r="37">
      <c r="A37" s="42">
        <f>IFERROR(MATCH(33,'Stock list'!$AK$2:$AK$301,0),"")</f>
        <v/>
      </c>
      <c r="B37" s="43">
        <f>IF($A37="","",33)</f>
        <v/>
      </c>
      <c r="C37" s="43">
        <f>IF($A37="","",INDEX('Stock list'!$M$2:$M$301,$A37)&amp;"")</f>
        <v/>
      </c>
      <c r="D37" s="43">
        <f>IF($A37="","",INDEX('Stock list'!$A$2:$A$301,$A37))</f>
        <v/>
      </c>
      <c r="E37" s="43">
        <f>IF($A37="","",INDEX('Stock list'!$K$2:$K$301,$A37)&amp;"")</f>
        <v/>
      </c>
      <c r="F37" s="43">
        <f>IF($A37="","",INDEX('Stock list'!$N$2:$N$301,$A37)&amp;"")</f>
        <v/>
      </c>
      <c r="G37" s="31">
        <f>IF($A37="","",INDEX('Stock list'!$C$2:$C$301,$A37))</f>
        <v/>
      </c>
      <c r="H37" s="48">
        <f>IF($A37="","",INDEX('Stock list'!$AA$2:$AA$301,$A37))</f>
        <v/>
      </c>
      <c r="I37" s="32">
        <f>IF($A37="","",INDEX('Stock list'!$D$2:$D$301,$A37))</f>
        <v/>
      </c>
      <c r="J37" s="43">
        <f>IF($A37="","",INDEX('Stock list'!$AI$2:$AI$301,$A37))</f>
        <v/>
      </c>
      <c r="K37" s="35" t="n"/>
      <c r="L37" s="24" t="n"/>
    </row>
    <row r="38">
      <c r="A38" s="42">
        <f>IFERROR(MATCH(34,'Stock list'!$AK$2:$AK$301,0),"")</f>
        <v/>
      </c>
      <c r="B38" s="43">
        <f>IF($A38="","",34)</f>
        <v/>
      </c>
      <c r="C38" s="43">
        <f>IF($A38="","",INDEX('Stock list'!$M$2:$M$301,$A38)&amp;"")</f>
        <v/>
      </c>
      <c r="D38" s="43">
        <f>IF($A38="","",INDEX('Stock list'!$A$2:$A$301,$A38))</f>
        <v/>
      </c>
      <c r="E38" s="43">
        <f>IF($A38="","",INDEX('Stock list'!$K$2:$K$301,$A38)&amp;"")</f>
        <v/>
      </c>
      <c r="F38" s="43">
        <f>IF($A38="","",INDEX('Stock list'!$N$2:$N$301,$A38)&amp;"")</f>
        <v/>
      </c>
      <c r="G38" s="31">
        <f>IF($A38="","",INDEX('Stock list'!$C$2:$C$301,$A38))</f>
        <v/>
      </c>
      <c r="H38" s="48">
        <f>IF($A38="","",INDEX('Stock list'!$AA$2:$AA$301,$A38))</f>
        <v/>
      </c>
      <c r="I38" s="32">
        <f>IF($A38="","",INDEX('Stock list'!$D$2:$D$301,$A38))</f>
        <v/>
      </c>
      <c r="J38" s="43">
        <f>IF($A38="","",INDEX('Stock list'!$AI$2:$AI$301,$A38))</f>
        <v/>
      </c>
      <c r="K38" s="35" t="n"/>
      <c r="L38" s="24" t="n"/>
    </row>
    <row r="39">
      <c r="A39" s="42">
        <f>IFERROR(MATCH(35,'Stock list'!$AK$2:$AK$301,0),"")</f>
        <v/>
      </c>
      <c r="B39" s="43">
        <f>IF($A39="","",35)</f>
        <v/>
      </c>
      <c r="C39" s="43">
        <f>IF($A39="","",INDEX('Stock list'!$M$2:$M$301,$A39)&amp;"")</f>
        <v/>
      </c>
      <c r="D39" s="43">
        <f>IF($A39="","",INDEX('Stock list'!$A$2:$A$301,$A39))</f>
        <v/>
      </c>
      <c r="E39" s="43">
        <f>IF($A39="","",INDEX('Stock list'!$K$2:$K$301,$A39)&amp;"")</f>
        <v/>
      </c>
      <c r="F39" s="43">
        <f>IF($A39="","",INDEX('Stock list'!$N$2:$N$301,$A39)&amp;"")</f>
        <v/>
      </c>
      <c r="G39" s="31">
        <f>IF($A39="","",INDEX('Stock list'!$C$2:$C$301,$A39))</f>
        <v/>
      </c>
      <c r="H39" s="48">
        <f>IF($A39="","",INDEX('Stock list'!$AA$2:$AA$301,$A39))</f>
        <v/>
      </c>
      <c r="I39" s="32">
        <f>IF($A39="","",INDEX('Stock list'!$D$2:$D$301,$A39))</f>
        <v/>
      </c>
      <c r="J39" s="43">
        <f>IF($A39="","",INDEX('Stock list'!$AI$2:$AI$301,$A39))</f>
        <v/>
      </c>
      <c r="K39" s="35" t="n"/>
      <c r="L39" s="24" t="n"/>
    </row>
    <row r="40">
      <c r="A40" s="42">
        <f>IFERROR(MATCH(36,'Stock list'!$AK$2:$AK$301,0),"")</f>
        <v/>
      </c>
      <c r="B40" s="43">
        <f>IF($A40="","",36)</f>
        <v/>
      </c>
      <c r="C40" s="43">
        <f>IF($A40="","",INDEX('Stock list'!$M$2:$M$301,$A40)&amp;"")</f>
        <v/>
      </c>
      <c r="D40" s="43">
        <f>IF($A40="","",INDEX('Stock list'!$A$2:$A$301,$A40))</f>
        <v/>
      </c>
      <c r="E40" s="43">
        <f>IF($A40="","",INDEX('Stock list'!$K$2:$K$301,$A40)&amp;"")</f>
        <v/>
      </c>
      <c r="F40" s="43">
        <f>IF($A40="","",INDEX('Stock list'!$N$2:$N$301,$A40)&amp;"")</f>
        <v/>
      </c>
      <c r="G40" s="31">
        <f>IF($A40="","",INDEX('Stock list'!$C$2:$C$301,$A40))</f>
        <v/>
      </c>
      <c r="H40" s="48">
        <f>IF($A40="","",INDEX('Stock list'!$AA$2:$AA$301,$A40))</f>
        <v/>
      </c>
      <c r="I40" s="32">
        <f>IF($A40="","",INDEX('Stock list'!$D$2:$D$301,$A40))</f>
        <v/>
      </c>
      <c r="J40" s="43">
        <f>IF($A40="","",INDEX('Stock list'!$AI$2:$AI$301,$A40))</f>
        <v/>
      </c>
      <c r="K40" s="35" t="n"/>
      <c r="L40" s="24" t="n"/>
    </row>
    <row r="41">
      <c r="A41" s="42">
        <f>IFERROR(MATCH(37,'Stock list'!$AK$2:$AK$301,0),"")</f>
        <v/>
      </c>
      <c r="B41" s="43">
        <f>IF($A41="","",37)</f>
        <v/>
      </c>
      <c r="C41" s="43">
        <f>IF($A41="","",INDEX('Stock list'!$M$2:$M$301,$A41)&amp;"")</f>
        <v/>
      </c>
      <c r="D41" s="43">
        <f>IF($A41="","",INDEX('Stock list'!$A$2:$A$301,$A41))</f>
        <v/>
      </c>
      <c r="E41" s="43">
        <f>IF($A41="","",INDEX('Stock list'!$K$2:$K$301,$A41)&amp;"")</f>
        <v/>
      </c>
      <c r="F41" s="43">
        <f>IF($A41="","",INDEX('Stock list'!$N$2:$N$301,$A41)&amp;"")</f>
        <v/>
      </c>
      <c r="G41" s="31">
        <f>IF($A41="","",INDEX('Stock list'!$C$2:$C$301,$A41))</f>
        <v/>
      </c>
      <c r="H41" s="48">
        <f>IF($A41="","",INDEX('Stock list'!$AA$2:$AA$301,$A41))</f>
        <v/>
      </c>
      <c r="I41" s="32">
        <f>IF($A41="","",INDEX('Stock list'!$D$2:$D$301,$A41))</f>
        <v/>
      </c>
      <c r="J41" s="43">
        <f>IF($A41="","",INDEX('Stock list'!$AI$2:$AI$301,$A41))</f>
        <v/>
      </c>
      <c r="K41" s="35" t="n"/>
      <c r="L41" s="24" t="n"/>
    </row>
    <row r="42">
      <c r="A42" s="42">
        <f>IFERROR(MATCH(38,'Stock list'!$AK$2:$AK$301,0),"")</f>
        <v/>
      </c>
      <c r="B42" s="43">
        <f>IF($A42="","",38)</f>
        <v/>
      </c>
      <c r="C42" s="43">
        <f>IF($A42="","",INDEX('Stock list'!$M$2:$M$301,$A42)&amp;"")</f>
        <v/>
      </c>
      <c r="D42" s="43">
        <f>IF($A42="","",INDEX('Stock list'!$A$2:$A$301,$A42))</f>
        <v/>
      </c>
      <c r="E42" s="43">
        <f>IF($A42="","",INDEX('Stock list'!$K$2:$K$301,$A42)&amp;"")</f>
        <v/>
      </c>
      <c r="F42" s="43">
        <f>IF($A42="","",INDEX('Stock list'!$N$2:$N$301,$A42)&amp;"")</f>
        <v/>
      </c>
      <c r="G42" s="31">
        <f>IF($A42="","",INDEX('Stock list'!$C$2:$C$301,$A42))</f>
        <v/>
      </c>
      <c r="H42" s="48">
        <f>IF($A42="","",INDEX('Stock list'!$AA$2:$AA$301,$A42))</f>
        <v/>
      </c>
      <c r="I42" s="32">
        <f>IF($A42="","",INDEX('Stock list'!$D$2:$D$301,$A42))</f>
        <v/>
      </c>
      <c r="J42" s="43">
        <f>IF($A42="","",INDEX('Stock list'!$AI$2:$AI$301,$A42))</f>
        <v/>
      </c>
      <c r="K42" s="35" t="n"/>
      <c r="L42" s="24" t="n"/>
    </row>
    <row r="43">
      <c r="A43" s="42">
        <f>IFERROR(MATCH(39,'Stock list'!$AK$2:$AK$301,0),"")</f>
        <v/>
      </c>
      <c r="B43" s="43">
        <f>IF($A43="","",39)</f>
        <v/>
      </c>
      <c r="C43" s="43">
        <f>IF($A43="","",INDEX('Stock list'!$M$2:$M$301,$A43)&amp;"")</f>
        <v/>
      </c>
      <c r="D43" s="43">
        <f>IF($A43="","",INDEX('Stock list'!$A$2:$A$301,$A43))</f>
        <v/>
      </c>
      <c r="E43" s="43">
        <f>IF($A43="","",INDEX('Stock list'!$K$2:$K$301,$A43)&amp;"")</f>
        <v/>
      </c>
      <c r="F43" s="43">
        <f>IF($A43="","",INDEX('Stock list'!$N$2:$N$301,$A43)&amp;"")</f>
        <v/>
      </c>
      <c r="G43" s="31">
        <f>IF($A43="","",INDEX('Stock list'!$C$2:$C$301,$A43))</f>
        <v/>
      </c>
      <c r="H43" s="48">
        <f>IF($A43="","",INDEX('Stock list'!$AA$2:$AA$301,$A43))</f>
        <v/>
      </c>
      <c r="I43" s="32">
        <f>IF($A43="","",INDEX('Stock list'!$D$2:$D$301,$A43))</f>
        <v/>
      </c>
      <c r="J43" s="43">
        <f>IF($A43="","",INDEX('Stock list'!$AI$2:$AI$301,$A43))</f>
        <v/>
      </c>
      <c r="K43" s="35" t="n"/>
      <c r="L43" s="24" t="n"/>
    </row>
    <row r="44">
      <c r="A44" s="42">
        <f>IFERROR(MATCH(40,'Stock list'!$AK$2:$AK$301,0),"")</f>
        <v/>
      </c>
      <c r="B44" s="43">
        <f>IF($A44="","",40)</f>
        <v/>
      </c>
      <c r="C44" s="43">
        <f>IF($A44="","",INDEX('Stock list'!$M$2:$M$301,$A44)&amp;"")</f>
        <v/>
      </c>
      <c r="D44" s="43">
        <f>IF($A44="","",INDEX('Stock list'!$A$2:$A$301,$A44))</f>
        <v/>
      </c>
      <c r="E44" s="43">
        <f>IF($A44="","",INDEX('Stock list'!$K$2:$K$301,$A44)&amp;"")</f>
        <v/>
      </c>
      <c r="F44" s="43">
        <f>IF($A44="","",INDEX('Stock list'!$N$2:$N$301,$A44)&amp;"")</f>
        <v/>
      </c>
      <c r="G44" s="31">
        <f>IF($A44="","",INDEX('Stock list'!$C$2:$C$301,$A44))</f>
        <v/>
      </c>
      <c r="H44" s="48">
        <f>IF($A44="","",INDEX('Stock list'!$AA$2:$AA$301,$A44))</f>
        <v/>
      </c>
      <c r="I44" s="32">
        <f>IF($A44="","",INDEX('Stock list'!$D$2:$D$301,$A44))</f>
        <v/>
      </c>
      <c r="J44" s="43">
        <f>IF($A44="","",INDEX('Stock list'!$AI$2:$AI$301,$A44))</f>
        <v/>
      </c>
      <c r="K44" s="35" t="n"/>
      <c r="L44" s="24" t="n"/>
    </row>
    <row r="45">
      <c r="A45" s="42">
        <f>IFERROR(MATCH(41,'Stock list'!$AK$2:$AK$301,0),"")</f>
        <v/>
      </c>
      <c r="B45" s="43">
        <f>IF($A45="","",41)</f>
        <v/>
      </c>
      <c r="C45" s="43">
        <f>IF($A45="","",INDEX('Stock list'!$M$2:$M$301,$A45)&amp;"")</f>
        <v/>
      </c>
      <c r="D45" s="43">
        <f>IF($A45="","",INDEX('Stock list'!$A$2:$A$301,$A45))</f>
        <v/>
      </c>
      <c r="E45" s="43">
        <f>IF($A45="","",INDEX('Stock list'!$K$2:$K$301,$A45)&amp;"")</f>
        <v/>
      </c>
      <c r="F45" s="43">
        <f>IF($A45="","",INDEX('Stock list'!$N$2:$N$301,$A45)&amp;"")</f>
        <v/>
      </c>
      <c r="G45" s="31">
        <f>IF($A45="","",INDEX('Stock list'!$C$2:$C$301,$A45))</f>
        <v/>
      </c>
      <c r="H45" s="48">
        <f>IF($A45="","",INDEX('Stock list'!$AA$2:$AA$301,$A45))</f>
        <v/>
      </c>
      <c r="I45" s="32">
        <f>IF($A45="","",INDEX('Stock list'!$D$2:$D$301,$A45))</f>
        <v/>
      </c>
      <c r="J45" s="43">
        <f>IF($A45="","",INDEX('Stock list'!$AI$2:$AI$301,$A45))</f>
        <v/>
      </c>
      <c r="K45" s="35" t="n"/>
      <c r="L45" s="24" t="n"/>
    </row>
    <row r="46">
      <c r="A46" s="42">
        <f>IFERROR(MATCH(42,'Stock list'!$AK$2:$AK$301,0),"")</f>
        <v/>
      </c>
      <c r="B46" s="43">
        <f>IF($A46="","",42)</f>
        <v/>
      </c>
      <c r="C46" s="43">
        <f>IF($A46="","",INDEX('Stock list'!$M$2:$M$301,$A46)&amp;"")</f>
        <v/>
      </c>
      <c r="D46" s="43">
        <f>IF($A46="","",INDEX('Stock list'!$A$2:$A$301,$A46))</f>
        <v/>
      </c>
      <c r="E46" s="43">
        <f>IF($A46="","",INDEX('Stock list'!$K$2:$K$301,$A46)&amp;"")</f>
        <v/>
      </c>
      <c r="F46" s="43">
        <f>IF($A46="","",INDEX('Stock list'!$N$2:$N$301,$A46)&amp;"")</f>
        <v/>
      </c>
      <c r="G46" s="31">
        <f>IF($A46="","",INDEX('Stock list'!$C$2:$C$301,$A46))</f>
        <v/>
      </c>
      <c r="H46" s="48">
        <f>IF($A46="","",INDEX('Stock list'!$AA$2:$AA$301,$A46))</f>
        <v/>
      </c>
      <c r="I46" s="32">
        <f>IF($A46="","",INDEX('Stock list'!$D$2:$D$301,$A46))</f>
        <v/>
      </c>
      <c r="J46" s="43">
        <f>IF($A46="","",INDEX('Stock list'!$AI$2:$AI$301,$A46))</f>
        <v/>
      </c>
      <c r="K46" s="35" t="n"/>
      <c r="L46" s="24" t="n"/>
    </row>
    <row r="47">
      <c r="A47" s="42">
        <f>IFERROR(MATCH(43,'Stock list'!$AK$2:$AK$301,0),"")</f>
        <v/>
      </c>
      <c r="B47" s="43">
        <f>IF($A47="","",43)</f>
        <v/>
      </c>
      <c r="C47" s="43">
        <f>IF($A47="","",INDEX('Stock list'!$M$2:$M$301,$A47)&amp;"")</f>
        <v/>
      </c>
      <c r="D47" s="43">
        <f>IF($A47="","",INDEX('Stock list'!$A$2:$A$301,$A47))</f>
        <v/>
      </c>
      <c r="E47" s="43">
        <f>IF($A47="","",INDEX('Stock list'!$K$2:$K$301,$A47)&amp;"")</f>
        <v/>
      </c>
      <c r="F47" s="43">
        <f>IF($A47="","",INDEX('Stock list'!$N$2:$N$301,$A47)&amp;"")</f>
        <v/>
      </c>
      <c r="G47" s="31">
        <f>IF($A47="","",INDEX('Stock list'!$C$2:$C$301,$A47))</f>
        <v/>
      </c>
      <c r="H47" s="48">
        <f>IF($A47="","",INDEX('Stock list'!$AA$2:$AA$301,$A47))</f>
        <v/>
      </c>
      <c r="I47" s="32">
        <f>IF($A47="","",INDEX('Stock list'!$D$2:$D$301,$A47))</f>
        <v/>
      </c>
      <c r="J47" s="43">
        <f>IF($A47="","",INDEX('Stock list'!$AI$2:$AI$301,$A47))</f>
        <v/>
      </c>
      <c r="K47" s="35" t="n"/>
      <c r="L47" s="24" t="n"/>
    </row>
    <row r="48">
      <c r="A48" s="42">
        <f>IFERROR(MATCH(44,'Stock list'!$AK$2:$AK$301,0),"")</f>
        <v/>
      </c>
      <c r="B48" s="43">
        <f>IF($A48="","",44)</f>
        <v/>
      </c>
      <c r="C48" s="43">
        <f>IF($A48="","",INDEX('Stock list'!$M$2:$M$301,$A48)&amp;"")</f>
        <v/>
      </c>
      <c r="D48" s="43">
        <f>IF($A48="","",INDEX('Stock list'!$A$2:$A$301,$A48))</f>
        <v/>
      </c>
      <c r="E48" s="43">
        <f>IF($A48="","",INDEX('Stock list'!$K$2:$K$301,$A48)&amp;"")</f>
        <v/>
      </c>
      <c r="F48" s="43">
        <f>IF($A48="","",INDEX('Stock list'!$N$2:$N$301,$A48)&amp;"")</f>
        <v/>
      </c>
      <c r="G48" s="31">
        <f>IF($A48="","",INDEX('Stock list'!$C$2:$C$301,$A48))</f>
        <v/>
      </c>
      <c r="H48" s="48">
        <f>IF($A48="","",INDEX('Stock list'!$AA$2:$AA$301,$A48))</f>
        <v/>
      </c>
      <c r="I48" s="32">
        <f>IF($A48="","",INDEX('Stock list'!$D$2:$D$301,$A48))</f>
        <v/>
      </c>
      <c r="J48" s="43">
        <f>IF($A48="","",INDEX('Stock list'!$AI$2:$AI$301,$A48))</f>
        <v/>
      </c>
      <c r="K48" s="35" t="n"/>
      <c r="L48" s="24" t="n"/>
    </row>
    <row r="49">
      <c r="A49" s="42">
        <f>IFERROR(MATCH(45,'Stock list'!$AK$2:$AK$301,0),"")</f>
        <v/>
      </c>
      <c r="B49" s="43">
        <f>IF($A49="","",45)</f>
        <v/>
      </c>
      <c r="C49" s="43">
        <f>IF($A49="","",INDEX('Stock list'!$M$2:$M$301,$A49)&amp;"")</f>
        <v/>
      </c>
      <c r="D49" s="43">
        <f>IF($A49="","",INDEX('Stock list'!$A$2:$A$301,$A49))</f>
        <v/>
      </c>
      <c r="E49" s="43">
        <f>IF($A49="","",INDEX('Stock list'!$K$2:$K$301,$A49)&amp;"")</f>
        <v/>
      </c>
      <c r="F49" s="43">
        <f>IF($A49="","",INDEX('Stock list'!$N$2:$N$301,$A49)&amp;"")</f>
        <v/>
      </c>
      <c r="G49" s="31">
        <f>IF($A49="","",INDEX('Stock list'!$C$2:$C$301,$A49))</f>
        <v/>
      </c>
      <c r="H49" s="48">
        <f>IF($A49="","",INDEX('Stock list'!$AA$2:$AA$301,$A49))</f>
        <v/>
      </c>
      <c r="I49" s="32">
        <f>IF($A49="","",INDEX('Stock list'!$D$2:$D$301,$A49))</f>
        <v/>
      </c>
      <c r="J49" s="43">
        <f>IF($A49="","",INDEX('Stock list'!$AI$2:$AI$301,$A49))</f>
        <v/>
      </c>
      <c r="K49" s="35" t="n"/>
      <c r="L49" s="24" t="n"/>
    </row>
    <row r="50">
      <c r="A50" s="42">
        <f>IFERROR(MATCH(46,'Stock list'!$AK$2:$AK$301,0),"")</f>
        <v/>
      </c>
      <c r="B50" s="43">
        <f>IF($A50="","",46)</f>
        <v/>
      </c>
      <c r="C50" s="43">
        <f>IF($A50="","",INDEX('Stock list'!$M$2:$M$301,$A50)&amp;"")</f>
        <v/>
      </c>
      <c r="D50" s="43">
        <f>IF($A50="","",INDEX('Stock list'!$A$2:$A$301,$A50))</f>
        <v/>
      </c>
      <c r="E50" s="43">
        <f>IF($A50="","",INDEX('Stock list'!$K$2:$K$301,$A50)&amp;"")</f>
        <v/>
      </c>
      <c r="F50" s="43">
        <f>IF($A50="","",INDEX('Stock list'!$N$2:$N$301,$A50)&amp;"")</f>
        <v/>
      </c>
      <c r="G50" s="31">
        <f>IF($A50="","",INDEX('Stock list'!$C$2:$C$301,$A50))</f>
        <v/>
      </c>
      <c r="H50" s="48">
        <f>IF($A50="","",INDEX('Stock list'!$AA$2:$AA$301,$A50))</f>
        <v/>
      </c>
      <c r="I50" s="32">
        <f>IF($A50="","",INDEX('Stock list'!$D$2:$D$301,$A50))</f>
        <v/>
      </c>
      <c r="J50" s="43">
        <f>IF($A50="","",INDEX('Stock list'!$AI$2:$AI$301,$A50))</f>
        <v/>
      </c>
      <c r="K50" s="35" t="n"/>
      <c r="L50" s="24" t="n"/>
    </row>
    <row r="51">
      <c r="A51" s="42">
        <f>IFERROR(MATCH(47,'Stock list'!$AK$2:$AK$301,0),"")</f>
        <v/>
      </c>
      <c r="B51" s="43">
        <f>IF($A51="","",47)</f>
        <v/>
      </c>
      <c r="C51" s="43">
        <f>IF($A51="","",INDEX('Stock list'!$M$2:$M$301,$A51)&amp;"")</f>
        <v/>
      </c>
      <c r="D51" s="43">
        <f>IF($A51="","",INDEX('Stock list'!$A$2:$A$301,$A51))</f>
        <v/>
      </c>
      <c r="E51" s="43">
        <f>IF($A51="","",INDEX('Stock list'!$K$2:$K$301,$A51)&amp;"")</f>
        <v/>
      </c>
      <c r="F51" s="43">
        <f>IF($A51="","",INDEX('Stock list'!$N$2:$N$301,$A51)&amp;"")</f>
        <v/>
      </c>
      <c r="G51" s="31">
        <f>IF($A51="","",INDEX('Stock list'!$C$2:$C$301,$A51))</f>
        <v/>
      </c>
      <c r="H51" s="48">
        <f>IF($A51="","",INDEX('Stock list'!$AA$2:$AA$301,$A51))</f>
        <v/>
      </c>
      <c r="I51" s="32">
        <f>IF($A51="","",INDEX('Stock list'!$D$2:$D$301,$A51))</f>
        <v/>
      </c>
      <c r="J51" s="43">
        <f>IF($A51="","",INDEX('Stock list'!$AI$2:$AI$301,$A51))</f>
        <v/>
      </c>
      <c r="K51" s="35" t="n"/>
      <c r="L51" s="24" t="n"/>
    </row>
    <row r="52">
      <c r="A52" s="42">
        <f>IFERROR(MATCH(48,'Stock list'!$AK$2:$AK$301,0),"")</f>
        <v/>
      </c>
      <c r="B52" s="43">
        <f>IF($A52="","",48)</f>
        <v/>
      </c>
      <c r="C52" s="43">
        <f>IF($A52="","",INDEX('Stock list'!$M$2:$M$301,$A52)&amp;"")</f>
        <v/>
      </c>
      <c r="D52" s="43">
        <f>IF($A52="","",INDEX('Stock list'!$A$2:$A$301,$A52))</f>
        <v/>
      </c>
      <c r="E52" s="43">
        <f>IF($A52="","",INDEX('Stock list'!$K$2:$K$301,$A52)&amp;"")</f>
        <v/>
      </c>
      <c r="F52" s="43">
        <f>IF($A52="","",INDEX('Stock list'!$N$2:$N$301,$A52)&amp;"")</f>
        <v/>
      </c>
      <c r="G52" s="31">
        <f>IF($A52="","",INDEX('Stock list'!$C$2:$C$301,$A52))</f>
        <v/>
      </c>
      <c r="H52" s="48">
        <f>IF($A52="","",INDEX('Stock list'!$AA$2:$AA$301,$A52))</f>
        <v/>
      </c>
      <c r="I52" s="32">
        <f>IF($A52="","",INDEX('Stock list'!$D$2:$D$301,$A52))</f>
        <v/>
      </c>
      <c r="J52" s="43">
        <f>IF($A52="","",INDEX('Stock list'!$AI$2:$AI$301,$A52))</f>
        <v/>
      </c>
      <c r="K52" s="35" t="n"/>
      <c r="L52" s="24" t="n"/>
    </row>
    <row r="53">
      <c r="A53" s="42">
        <f>IFERROR(MATCH(49,'Stock list'!$AK$2:$AK$301,0),"")</f>
        <v/>
      </c>
      <c r="B53" s="43">
        <f>IF($A53="","",49)</f>
        <v/>
      </c>
      <c r="C53" s="43">
        <f>IF($A53="","",INDEX('Stock list'!$M$2:$M$301,$A53)&amp;"")</f>
        <v/>
      </c>
      <c r="D53" s="43">
        <f>IF($A53="","",INDEX('Stock list'!$A$2:$A$301,$A53))</f>
        <v/>
      </c>
      <c r="E53" s="43">
        <f>IF($A53="","",INDEX('Stock list'!$K$2:$K$301,$A53)&amp;"")</f>
        <v/>
      </c>
      <c r="F53" s="43">
        <f>IF($A53="","",INDEX('Stock list'!$N$2:$N$301,$A53)&amp;"")</f>
        <v/>
      </c>
      <c r="G53" s="31">
        <f>IF($A53="","",INDEX('Stock list'!$C$2:$C$301,$A53))</f>
        <v/>
      </c>
      <c r="H53" s="48">
        <f>IF($A53="","",INDEX('Stock list'!$AA$2:$AA$301,$A53))</f>
        <v/>
      </c>
      <c r="I53" s="32">
        <f>IF($A53="","",INDEX('Stock list'!$D$2:$D$301,$A53))</f>
        <v/>
      </c>
      <c r="J53" s="43">
        <f>IF($A53="","",INDEX('Stock list'!$AI$2:$AI$301,$A53))</f>
        <v/>
      </c>
      <c r="K53" s="35" t="n"/>
      <c r="L53" s="24" t="n"/>
    </row>
    <row r="54">
      <c r="A54" s="42">
        <f>IFERROR(MATCH(50,'Stock list'!$AK$2:$AK$301,0),"")</f>
        <v/>
      </c>
      <c r="B54" s="43">
        <f>IF($A54="","",50)</f>
        <v/>
      </c>
      <c r="C54" s="43">
        <f>IF($A54="","",INDEX('Stock list'!$M$2:$M$301,$A54)&amp;"")</f>
        <v/>
      </c>
      <c r="D54" s="43">
        <f>IF($A54="","",INDEX('Stock list'!$A$2:$A$301,$A54))</f>
        <v/>
      </c>
      <c r="E54" s="43">
        <f>IF($A54="","",INDEX('Stock list'!$K$2:$K$301,$A54)&amp;"")</f>
        <v/>
      </c>
      <c r="F54" s="43">
        <f>IF($A54="","",INDEX('Stock list'!$N$2:$N$301,$A54)&amp;"")</f>
        <v/>
      </c>
      <c r="G54" s="31">
        <f>IF($A54="","",INDEX('Stock list'!$C$2:$C$301,$A54))</f>
        <v/>
      </c>
      <c r="H54" s="48">
        <f>IF($A54="","",INDEX('Stock list'!$AA$2:$AA$301,$A54))</f>
        <v/>
      </c>
      <c r="I54" s="32">
        <f>IF($A54="","",INDEX('Stock list'!$D$2:$D$301,$A54))</f>
        <v/>
      </c>
      <c r="J54" s="43">
        <f>IF($A54="","",INDEX('Stock list'!$AI$2:$AI$301,$A54))</f>
        <v/>
      </c>
      <c r="K54" s="35" t="n"/>
      <c r="L54" s="24" t="n"/>
    </row>
    <row r="55">
      <c r="A55" s="42">
        <f>IFERROR(MATCH(51,'Stock list'!$AK$2:$AK$301,0),"")</f>
        <v/>
      </c>
      <c r="B55" s="43">
        <f>IF($A55="","",51)</f>
        <v/>
      </c>
      <c r="C55" s="43">
        <f>IF($A55="","",INDEX('Stock list'!$M$2:$M$301,$A55)&amp;"")</f>
        <v/>
      </c>
      <c r="D55" s="43">
        <f>IF($A55="","",INDEX('Stock list'!$A$2:$A$301,$A55))</f>
        <v/>
      </c>
      <c r="E55" s="43">
        <f>IF($A55="","",INDEX('Stock list'!$K$2:$K$301,$A55)&amp;"")</f>
        <v/>
      </c>
      <c r="F55" s="43">
        <f>IF($A55="","",INDEX('Stock list'!$N$2:$N$301,$A55)&amp;"")</f>
        <v/>
      </c>
      <c r="G55" s="31">
        <f>IF($A55="","",INDEX('Stock list'!$C$2:$C$301,$A55))</f>
        <v/>
      </c>
      <c r="H55" s="48">
        <f>IF($A55="","",INDEX('Stock list'!$AA$2:$AA$301,$A55))</f>
        <v/>
      </c>
      <c r="I55" s="32">
        <f>IF($A55="","",INDEX('Stock list'!$D$2:$D$301,$A55))</f>
        <v/>
      </c>
      <c r="J55" s="43">
        <f>IF($A55="","",INDEX('Stock list'!$AI$2:$AI$301,$A55))</f>
        <v/>
      </c>
      <c r="K55" s="35" t="n"/>
      <c r="L55" s="24" t="n"/>
    </row>
    <row r="56">
      <c r="A56" s="42">
        <f>IFERROR(MATCH(52,'Stock list'!$AK$2:$AK$301,0),"")</f>
        <v/>
      </c>
      <c r="B56" s="43">
        <f>IF($A56="","",52)</f>
        <v/>
      </c>
      <c r="C56" s="43">
        <f>IF($A56="","",INDEX('Stock list'!$M$2:$M$301,$A56)&amp;"")</f>
        <v/>
      </c>
      <c r="D56" s="43">
        <f>IF($A56="","",INDEX('Stock list'!$A$2:$A$301,$A56))</f>
        <v/>
      </c>
      <c r="E56" s="43">
        <f>IF($A56="","",INDEX('Stock list'!$K$2:$K$301,$A56)&amp;"")</f>
        <v/>
      </c>
      <c r="F56" s="43">
        <f>IF($A56="","",INDEX('Stock list'!$N$2:$N$301,$A56)&amp;"")</f>
        <v/>
      </c>
      <c r="G56" s="31">
        <f>IF($A56="","",INDEX('Stock list'!$C$2:$C$301,$A56))</f>
        <v/>
      </c>
      <c r="H56" s="48">
        <f>IF($A56="","",INDEX('Stock list'!$AA$2:$AA$301,$A56))</f>
        <v/>
      </c>
      <c r="I56" s="32">
        <f>IF($A56="","",INDEX('Stock list'!$D$2:$D$301,$A56))</f>
        <v/>
      </c>
      <c r="J56" s="43">
        <f>IF($A56="","",INDEX('Stock list'!$AI$2:$AI$301,$A56))</f>
        <v/>
      </c>
      <c r="K56" s="35" t="n"/>
      <c r="L56" s="24" t="n"/>
    </row>
    <row r="57">
      <c r="A57" s="42">
        <f>IFERROR(MATCH(53,'Stock list'!$AK$2:$AK$301,0),"")</f>
        <v/>
      </c>
      <c r="B57" s="43">
        <f>IF($A57="","",53)</f>
        <v/>
      </c>
      <c r="C57" s="43">
        <f>IF($A57="","",INDEX('Stock list'!$M$2:$M$301,$A57)&amp;"")</f>
        <v/>
      </c>
      <c r="D57" s="43">
        <f>IF($A57="","",INDEX('Stock list'!$A$2:$A$301,$A57))</f>
        <v/>
      </c>
      <c r="E57" s="43">
        <f>IF($A57="","",INDEX('Stock list'!$K$2:$K$301,$A57)&amp;"")</f>
        <v/>
      </c>
      <c r="F57" s="43">
        <f>IF($A57="","",INDEX('Stock list'!$N$2:$N$301,$A57)&amp;"")</f>
        <v/>
      </c>
      <c r="G57" s="31">
        <f>IF($A57="","",INDEX('Stock list'!$C$2:$C$301,$A57))</f>
        <v/>
      </c>
      <c r="H57" s="48">
        <f>IF($A57="","",INDEX('Stock list'!$AA$2:$AA$301,$A57))</f>
        <v/>
      </c>
      <c r="I57" s="32">
        <f>IF($A57="","",INDEX('Stock list'!$D$2:$D$301,$A57))</f>
        <v/>
      </c>
      <c r="J57" s="43">
        <f>IF($A57="","",INDEX('Stock list'!$AI$2:$AI$301,$A57))</f>
        <v/>
      </c>
      <c r="K57" s="35" t="n"/>
      <c r="L57" s="24" t="n"/>
    </row>
    <row r="58">
      <c r="A58" s="42">
        <f>IFERROR(MATCH(54,'Stock list'!$AK$2:$AK$301,0),"")</f>
        <v/>
      </c>
      <c r="B58" s="43">
        <f>IF($A58="","",54)</f>
        <v/>
      </c>
      <c r="C58" s="43">
        <f>IF($A58="","",INDEX('Stock list'!$M$2:$M$301,$A58)&amp;"")</f>
        <v/>
      </c>
      <c r="D58" s="43">
        <f>IF($A58="","",INDEX('Stock list'!$A$2:$A$301,$A58))</f>
        <v/>
      </c>
      <c r="E58" s="43">
        <f>IF($A58="","",INDEX('Stock list'!$K$2:$K$301,$A58)&amp;"")</f>
        <v/>
      </c>
      <c r="F58" s="43">
        <f>IF($A58="","",INDEX('Stock list'!$N$2:$N$301,$A58)&amp;"")</f>
        <v/>
      </c>
      <c r="G58" s="31">
        <f>IF($A58="","",INDEX('Stock list'!$C$2:$C$301,$A58))</f>
        <v/>
      </c>
      <c r="H58" s="48">
        <f>IF($A58="","",INDEX('Stock list'!$AA$2:$AA$301,$A58))</f>
        <v/>
      </c>
      <c r="I58" s="32">
        <f>IF($A58="","",INDEX('Stock list'!$D$2:$D$301,$A58))</f>
        <v/>
      </c>
      <c r="J58" s="43">
        <f>IF($A58="","",INDEX('Stock list'!$AI$2:$AI$301,$A58))</f>
        <v/>
      </c>
      <c r="K58" s="35" t="n"/>
      <c r="L58" s="24" t="n"/>
    </row>
    <row r="59">
      <c r="A59" s="42">
        <f>IFERROR(MATCH(55,'Stock list'!$AK$2:$AK$301,0),"")</f>
        <v/>
      </c>
      <c r="B59" s="43">
        <f>IF($A59="","",55)</f>
        <v/>
      </c>
      <c r="C59" s="43">
        <f>IF($A59="","",INDEX('Stock list'!$M$2:$M$301,$A59)&amp;"")</f>
        <v/>
      </c>
      <c r="D59" s="43">
        <f>IF($A59="","",INDEX('Stock list'!$A$2:$A$301,$A59))</f>
        <v/>
      </c>
      <c r="E59" s="43">
        <f>IF($A59="","",INDEX('Stock list'!$K$2:$K$301,$A59)&amp;"")</f>
        <v/>
      </c>
      <c r="F59" s="43">
        <f>IF($A59="","",INDEX('Stock list'!$N$2:$N$301,$A59)&amp;"")</f>
        <v/>
      </c>
      <c r="G59" s="31">
        <f>IF($A59="","",INDEX('Stock list'!$C$2:$C$301,$A59))</f>
        <v/>
      </c>
      <c r="H59" s="48">
        <f>IF($A59="","",INDEX('Stock list'!$AA$2:$AA$301,$A59))</f>
        <v/>
      </c>
      <c r="I59" s="32">
        <f>IF($A59="","",INDEX('Stock list'!$D$2:$D$301,$A59))</f>
        <v/>
      </c>
      <c r="J59" s="43">
        <f>IF($A59="","",INDEX('Stock list'!$AI$2:$AI$301,$A59))</f>
        <v/>
      </c>
      <c r="K59" s="35" t="n"/>
      <c r="L59" s="24" t="n"/>
    </row>
    <row r="60">
      <c r="A60" s="42">
        <f>IFERROR(MATCH(56,'Stock list'!$AK$2:$AK$301,0),"")</f>
        <v/>
      </c>
      <c r="B60" s="43">
        <f>IF($A60="","",56)</f>
        <v/>
      </c>
      <c r="C60" s="43">
        <f>IF($A60="","",INDEX('Stock list'!$M$2:$M$301,$A60)&amp;"")</f>
        <v/>
      </c>
      <c r="D60" s="43">
        <f>IF($A60="","",INDEX('Stock list'!$A$2:$A$301,$A60))</f>
        <v/>
      </c>
      <c r="E60" s="43">
        <f>IF($A60="","",INDEX('Stock list'!$K$2:$K$301,$A60)&amp;"")</f>
        <v/>
      </c>
      <c r="F60" s="43">
        <f>IF($A60="","",INDEX('Stock list'!$N$2:$N$301,$A60)&amp;"")</f>
        <v/>
      </c>
      <c r="G60" s="31">
        <f>IF($A60="","",INDEX('Stock list'!$C$2:$C$301,$A60))</f>
        <v/>
      </c>
      <c r="H60" s="48">
        <f>IF($A60="","",INDEX('Stock list'!$AA$2:$AA$301,$A60))</f>
        <v/>
      </c>
      <c r="I60" s="32">
        <f>IF($A60="","",INDEX('Stock list'!$D$2:$D$301,$A60))</f>
        <v/>
      </c>
      <c r="J60" s="43">
        <f>IF($A60="","",INDEX('Stock list'!$AI$2:$AI$301,$A60))</f>
        <v/>
      </c>
      <c r="K60" s="35" t="n"/>
      <c r="L60" s="24" t="n"/>
    </row>
    <row r="61">
      <c r="A61" s="42">
        <f>IFERROR(MATCH(57,'Stock list'!$AK$2:$AK$301,0),"")</f>
        <v/>
      </c>
      <c r="B61" s="43">
        <f>IF($A61="","",57)</f>
        <v/>
      </c>
      <c r="C61" s="43">
        <f>IF($A61="","",INDEX('Stock list'!$M$2:$M$301,$A61)&amp;"")</f>
        <v/>
      </c>
      <c r="D61" s="43">
        <f>IF($A61="","",INDEX('Stock list'!$A$2:$A$301,$A61))</f>
        <v/>
      </c>
      <c r="E61" s="43">
        <f>IF($A61="","",INDEX('Stock list'!$K$2:$K$301,$A61)&amp;"")</f>
        <v/>
      </c>
      <c r="F61" s="43">
        <f>IF($A61="","",INDEX('Stock list'!$N$2:$N$301,$A61)&amp;"")</f>
        <v/>
      </c>
      <c r="G61" s="31">
        <f>IF($A61="","",INDEX('Stock list'!$C$2:$C$301,$A61))</f>
        <v/>
      </c>
      <c r="H61" s="48">
        <f>IF($A61="","",INDEX('Stock list'!$AA$2:$AA$301,$A61))</f>
        <v/>
      </c>
      <c r="I61" s="32">
        <f>IF($A61="","",INDEX('Stock list'!$D$2:$D$301,$A61))</f>
        <v/>
      </c>
      <c r="J61" s="43">
        <f>IF($A61="","",INDEX('Stock list'!$AI$2:$AI$301,$A61))</f>
        <v/>
      </c>
      <c r="K61" s="35" t="n"/>
      <c r="L61" s="24" t="n"/>
    </row>
    <row r="62">
      <c r="A62" s="42">
        <f>IFERROR(MATCH(58,'Stock list'!$AK$2:$AK$301,0),"")</f>
        <v/>
      </c>
      <c r="B62" s="43">
        <f>IF($A62="","",58)</f>
        <v/>
      </c>
      <c r="C62" s="43">
        <f>IF($A62="","",INDEX('Stock list'!$M$2:$M$301,$A62)&amp;"")</f>
        <v/>
      </c>
      <c r="D62" s="43">
        <f>IF($A62="","",INDEX('Stock list'!$A$2:$A$301,$A62))</f>
        <v/>
      </c>
      <c r="E62" s="43">
        <f>IF($A62="","",INDEX('Stock list'!$K$2:$K$301,$A62)&amp;"")</f>
        <v/>
      </c>
      <c r="F62" s="43">
        <f>IF($A62="","",INDEX('Stock list'!$N$2:$N$301,$A62)&amp;"")</f>
        <v/>
      </c>
      <c r="G62" s="31">
        <f>IF($A62="","",INDEX('Stock list'!$C$2:$C$301,$A62))</f>
        <v/>
      </c>
      <c r="H62" s="48">
        <f>IF($A62="","",INDEX('Stock list'!$AA$2:$AA$301,$A62))</f>
        <v/>
      </c>
      <c r="I62" s="32">
        <f>IF($A62="","",INDEX('Stock list'!$D$2:$D$301,$A62))</f>
        <v/>
      </c>
      <c r="J62" s="43">
        <f>IF($A62="","",INDEX('Stock list'!$AI$2:$AI$301,$A62))</f>
        <v/>
      </c>
      <c r="K62" s="35" t="n"/>
      <c r="L62" s="24" t="n"/>
    </row>
    <row r="63">
      <c r="A63" s="42">
        <f>IFERROR(MATCH(59,'Stock list'!$AK$2:$AK$301,0),"")</f>
        <v/>
      </c>
      <c r="B63" s="43">
        <f>IF($A63="","",59)</f>
        <v/>
      </c>
      <c r="C63" s="43">
        <f>IF($A63="","",INDEX('Stock list'!$M$2:$M$301,$A63)&amp;"")</f>
        <v/>
      </c>
      <c r="D63" s="43">
        <f>IF($A63="","",INDEX('Stock list'!$A$2:$A$301,$A63))</f>
        <v/>
      </c>
      <c r="E63" s="43">
        <f>IF($A63="","",INDEX('Stock list'!$K$2:$K$301,$A63)&amp;"")</f>
        <v/>
      </c>
      <c r="F63" s="43">
        <f>IF($A63="","",INDEX('Stock list'!$N$2:$N$301,$A63)&amp;"")</f>
        <v/>
      </c>
      <c r="G63" s="31">
        <f>IF($A63="","",INDEX('Stock list'!$C$2:$C$301,$A63))</f>
        <v/>
      </c>
      <c r="H63" s="48">
        <f>IF($A63="","",INDEX('Stock list'!$AA$2:$AA$301,$A63))</f>
        <v/>
      </c>
      <c r="I63" s="32">
        <f>IF($A63="","",INDEX('Stock list'!$D$2:$D$301,$A63))</f>
        <v/>
      </c>
      <c r="J63" s="43">
        <f>IF($A63="","",INDEX('Stock list'!$AI$2:$AI$301,$A63))</f>
        <v/>
      </c>
      <c r="K63" s="35" t="n"/>
      <c r="L63" s="24" t="n"/>
    </row>
    <row r="64">
      <c r="A64" s="42">
        <f>IFERROR(MATCH(60,'Stock list'!$AK$2:$AK$301,0),"")</f>
        <v/>
      </c>
      <c r="B64" s="43">
        <f>IF($A64="","",60)</f>
        <v/>
      </c>
      <c r="C64" s="43">
        <f>IF($A64="","",INDEX('Stock list'!$M$2:$M$301,$A64)&amp;"")</f>
        <v/>
      </c>
      <c r="D64" s="43">
        <f>IF($A64="","",INDEX('Stock list'!$A$2:$A$301,$A64))</f>
        <v/>
      </c>
      <c r="E64" s="43">
        <f>IF($A64="","",INDEX('Stock list'!$K$2:$K$301,$A64)&amp;"")</f>
        <v/>
      </c>
      <c r="F64" s="43">
        <f>IF($A64="","",INDEX('Stock list'!$N$2:$N$301,$A64)&amp;"")</f>
        <v/>
      </c>
      <c r="G64" s="31">
        <f>IF($A64="","",INDEX('Stock list'!$C$2:$C$301,$A64))</f>
        <v/>
      </c>
      <c r="H64" s="48">
        <f>IF($A64="","",INDEX('Stock list'!$AA$2:$AA$301,$A64))</f>
        <v/>
      </c>
      <c r="I64" s="32">
        <f>IF($A64="","",INDEX('Stock list'!$D$2:$D$301,$A64))</f>
        <v/>
      </c>
      <c r="J64" s="43">
        <f>IF($A64="","",INDEX('Stock list'!$AI$2:$AI$301,$A64))</f>
        <v/>
      </c>
      <c r="K64" s="35" t="n"/>
      <c r="L64" s="24" t="n"/>
    </row>
    <row r="66" ht="40" customHeight="1">
      <c r="B66" s="16" t="inlineStr">
        <is>
          <t>An item is on the list when it is OK but within the count threshold of its reorder point (Settings), when it has never been counted, or when it has not been counted for longer than the recount interval. Items already on the Order list or on order are left out: the order handles them. Full stocktakes are why inventory sheets die; this list is usually five to ten items and takes twenty minutes.</t>
        </is>
      </c>
    </row>
  </sheetData>
  <mergeCells count="1">
    <mergeCell ref="B66:L66"/>
  </mergeCells>
  <pageMargins left="0.75" right="0.75" top="1" bottom="1" header="0.5" footer="0.5"/>
  <pageSetup orientation="landscape" fitToHeight="0" fitToWidth="1"/>
</worksheet>
</file>

<file path=xl/worksheets/sheet8.xml><?xml version="1.0" encoding="utf-8"?>
<worksheet xmlns="http://schemas.openxmlformats.org/spreadsheetml/2006/main">
  <sheetPr>
    <outlinePr summaryBelow="1" summaryRight="1"/>
    <pageSetUpPr fitToPage="1"/>
  </sheetPr>
  <dimension ref="B1:G70"/>
  <sheetViews>
    <sheetView showGridLines="0" workbookViewId="0">
      <selection activeCell="A1" sqref="A1"/>
    </sheetView>
  </sheetViews>
  <sheetFormatPr baseColWidth="8" defaultRowHeight="15"/>
  <cols>
    <col width="3" customWidth="1" min="1" max="1"/>
    <col width="36" customWidth="1" min="2" max="2"/>
    <col width="14" customWidth="1" min="3" max="3"/>
    <col width="12" customWidth="1" min="4" max="4"/>
    <col width="12" customWidth="1" min="5" max="5"/>
    <col width="12" customWidth="1" min="6" max="6"/>
    <col width="52" customWidth="1" min="7" max="7"/>
    <col width="3" customWidth="1" min="8" max="8"/>
    <col width="3" customWidth="1" min="9" max="9"/>
  </cols>
  <sheetData>
    <row r="1">
      <c r="B1" s="1" t="inlineStr">
        <is>
          <t>Summary: the stock position</t>
        </is>
      </c>
    </row>
    <row r="2">
      <c r="B2" s="2" t="inlineStr">
        <is>
          <t>Calculated from the other tabs. Nothing to fill in here.</t>
        </is>
      </c>
    </row>
    <row r="4">
      <c r="B4" s="5" t="inlineStr">
        <is>
          <t>This week</t>
        </is>
      </c>
      <c r="C4" s="5" t="inlineStr">
        <is>
          <t>Value</t>
        </is>
      </c>
      <c r="D4" s="5" t="inlineStr"/>
      <c r="E4" s="6" t="n"/>
      <c r="F4" s="7" t="n"/>
      <c r="G4" s="5" t="inlineStr">
        <is>
          <t>How it is worked out</t>
        </is>
      </c>
    </row>
    <row r="5">
      <c r="B5" s="43" t="inlineStr">
        <is>
          <t>Items tracked</t>
        </is>
      </c>
      <c r="C5" s="49">
        <f>COUNTA('Stock list'!$A$2:$A$301)</f>
        <v/>
      </c>
      <c r="D5" s="43" t="inlineStr"/>
      <c r="E5" s="43" t="inlineStr"/>
      <c r="F5" s="43" t="inlineStr"/>
      <c r="G5" s="10" t="inlineStr">
        <is>
          <t>Rows in the Stock list.</t>
        </is>
      </c>
    </row>
    <row r="6">
      <c r="B6" s="43" t="inlineStr">
        <is>
          <t>Items to order this week</t>
        </is>
      </c>
      <c r="C6" s="49">
        <f>SUM('Stock list'!$AE$2:$AE$301)</f>
        <v/>
      </c>
      <c r="D6" s="43" t="inlineStr"/>
      <c r="E6" s="43" t="inlineStr"/>
      <c r="F6" s="43" t="inlineStr"/>
      <c r="G6" s="10" t="inlineStr">
        <is>
          <t>Order now or Critical, and not already on order. The Order list has them grouped by supplier.</t>
        </is>
      </c>
    </row>
    <row r="7">
      <c r="B7" s="43" t="inlineStr">
        <is>
          <t>Value of this week's order</t>
        </is>
      </c>
      <c r="C7" s="50">
        <f>SUMPRODUCT('Stock list'!$AE$2:$AE$301,'Stock list'!$AB$2:$AB$301)</f>
        <v/>
      </c>
      <c r="D7" s="43" t="inlineStr"/>
      <c r="E7" s="43" t="inlineStr"/>
      <c r="F7" s="43" t="inlineStr"/>
      <c r="G7" s="10" t="inlineStr">
        <is>
          <t>Order quantity × unit cost for each of them.</t>
        </is>
      </c>
    </row>
    <row r="8">
      <c r="B8" s="43" t="inlineStr">
        <is>
          <t>Items Critical</t>
        </is>
      </c>
      <c r="C8" s="49">
        <f>COUNTIF('Stock list'!$B$2:$B$301,"Critical")</f>
        <v/>
      </c>
      <c r="D8" s="51">
        <f>IF(C8&gt;0,"Look here","")</f>
        <v/>
      </c>
      <c r="E8" s="6" t="n"/>
      <c r="F8" s="7" t="n"/>
      <c r="G8" s="10" t="inlineStr">
        <is>
          <t>Will run out before a delivery placed today would arrive. Order today, chase, or borrow.</t>
        </is>
      </c>
    </row>
    <row r="9">
      <c r="B9" s="43" t="inlineStr">
        <is>
          <t>Items on order</t>
        </is>
      </c>
      <c r="C9" s="49">
        <f>COUNTIF('Stock list'!$B$2:$B$301,"On order")</f>
        <v/>
      </c>
      <c r="D9" s="43" t="inlineStr"/>
      <c r="E9" s="43" t="inlineStr"/>
      <c r="F9" s="43" t="inlineStr"/>
      <c r="G9" s="10" t="inlineStr">
        <is>
          <t>Ordered and not yet received. Log the delivery when it lands.</t>
        </is>
      </c>
    </row>
    <row r="10">
      <c r="B10" s="43" t="inlineStr">
        <is>
          <t>Stock-outs, last quarter</t>
        </is>
      </c>
      <c r="C10" s="49">
        <f>COUNTIFS(Log!$C$2:$C$1001,"Stock-out",Log!$A$2:$A$1001,"&gt;"&amp;(Settings!$C$10-91),Log!$A$2:$A$1001,"&lt;="&amp;Settings!$C$10)</f>
        <v/>
      </c>
      <c r="D10" s="43" t="inlineStr"/>
      <c r="E10" s="43" t="inlineStr"/>
      <c r="F10" s="43" t="inlineStr"/>
      <c r="G10" s="10" t="inlineStr">
        <is>
          <t>Stock-out rows in the Log in the last 13 weeks. The number you want falling.</t>
        </is>
      </c>
    </row>
    <row r="11">
      <c r="B11" s="43" t="inlineStr">
        <is>
          <t>Stock-outs, the quarter before</t>
        </is>
      </c>
      <c r="C11" s="49">
        <f>COUNTIFS(Log!$C$2:$C$1001,"Stock-out",Log!$A$2:$A$1001,"&gt;"&amp;(Settings!$C$10-182),Log!$A$2:$A$1001,"&lt;="&amp;(Settings!$C$10-91))</f>
        <v/>
      </c>
      <c r="D11" s="43" t="inlineStr"/>
      <c r="E11" s="43" t="inlineStr"/>
      <c r="F11" s="43" t="inlineStr"/>
      <c r="G11" s="10" t="inlineStr">
        <is>
          <t>The same, 13 to 26 weeks ago.</t>
        </is>
      </c>
    </row>
    <row r="12">
      <c r="B12" s="43" t="inlineStr">
        <is>
          <t>Cash tied up in stock</t>
        </is>
      </c>
      <c r="C12" s="50">
        <f>SUM('Stock list'!$AD$2:$AD$301)</f>
        <v/>
      </c>
      <c r="D12" s="43" t="inlineStr"/>
      <c r="E12" s="43" t="inlineStr"/>
      <c r="F12" s="43" t="inlineStr"/>
      <c r="G12" s="10" t="inlineStr">
        <is>
          <t>Stock now × unit cost, over every item. Usually more than people expect.</t>
        </is>
      </c>
    </row>
    <row r="13">
      <c r="B13" s="43" t="inlineStr">
        <is>
          <t>Annual spend, all items</t>
        </is>
      </c>
      <c r="C13" s="50">
        <f>SUM('Stock list'!$AC$2:$AC$301)</f>
        <v/>
      </c>
      <c r="D13" s="43" t="inlineStr"/>
      <c r="E13" s="43" t="inlineStr"/>
      <c r="F13" s="43" t="inlineStr"/>
      <c r="G13" s="10" t="inlineStr">
        <is>
          <t>Use per week × 52 × unit cost. An estimate from your use rates, not from invoices.</t>
        </is>
      </c>
    </row>
    <row r="14">
      <c r="B14" s="43" t="inlineStr">
        <is>
          <t>Suppliers in use</t>
        </is>
      </c>
      <c r="C14" s="49">
        <f>SUMPRODUCT((Suppliers!$B$5:$B$24&lt;&gt;"")*(COUNTIF('Stock list'!$H$2:$H$301,Suppliers!$B$5:$B$24)&gt;0))</f>
        <v/>
      </c>
      <c r="D14" s="43" t="inlineStr"/>
      <c r="E14" s="43" t="inlineStr"/>
      <c r="F14" s="43" t="inlineStr"/>
      <c r="G14" s="10" t="inlineStr">
        <is>
          <t>Suppliers with at least one item. Most labs this size manage with four to six.</t>
        </is>
      </c>
    </row>
    <row r="15">
      <c r="B15" s="43" t="inlineStr">
        <is>
          <t>Ordering hours per week now</t>
        </is>
      </c>
      <c r="C15" s="52">
        <f>IF(Settings!$C$12="","",Settings!$C$12)</f>
        <v/>
      </c>
      <c r="D15" s="43" t="inlineStr"/>
      <c r="E15" s="43" t="inlineStr"/>
      <c r="F15" s="43" t="inlineStr"/>
      <c r="G15" s="10" t="inlineStr">
        <is>
          <t>From Settings; the Lab Time Audit gives it. Reorder points and the Monday list typically cut it by two thirds.</t>
        </is>
      </c>
    </row>
    <row r="16">
      <c r="B16" s="43" t="inlineStr">
        <is>
          <t>What that costs a year</t>
        </is>
      </c>
      <c r="C16" s="50">
        <f>IF(Settings!$C$12="","",Settings!$C$12*46*Settings!$C$13)</f>
        <v/>
      </c>
      <c r="D16" s="43" t="inlineStr"/>
      <c r="E16" s="43" t="inlineStr"/>
      <c r="F16" s="43" t="inlineStr"/>
      <c r="G16" s="10" t="inlineStr">
        <is>
          <t>Hours × 46 weeks × loaded cost per hour (Settings).</t>
        </is>
      </c>
    </row>
    <row r="17">
      <c r="B17" s="44">
        <f>IF(AND(C10&gt;0,C11&gt;0),IF(C10&lt;C11,"Stock-outs down from "&amp;C11&amp;" to "&amp;C10&amp;" quarter on quarter.","Stock-outs up from "&amp;C11&amp;" to "&amp;C10&amp;" quarter on quarter. Look at the lead times and use rates of the items that ran out."),"")</f>
        <v/>
      </c>
      <c r="C17" s="6" t="n"/>
      <c r="D17" s="6" t="n"/>
      <c r="E17" s="6" t="n"/>
      <c r="F17" s="6" t="n"/>
      <c r="G17" s="7" t="n"/>
    </row>
    <row r="19">
      <c r="B19" s="53" t="inlineStr">
        <is>
          <t>Spend by supplier</t>
        </is>
      </c>
    </row>
    <row r="20">
      <c r="B20" s="5" t="inlineStr">
        <is>
          <t>Supplier</t>
        </is>
      </c>
      <c r="C20" s="5" t="inlineStr">
        <is>
          <t>Items</t>
        </is>
      </c>
      <c r="D20" s="5" t="inlineStr">
        <is>
          <t>Annual spend</t>
        </is>
      </c>
      <c r="E20" s="5" t="inlineStr">
        <is>
          <t>Share</t>
        </is>
      </c>
      <c r="F20" s="5" t="inlineStr">
        <is>
          <t>Stock value</t>
        </is>
      </c>
      <c r="G20" s="5" t="inlineStr">
        <is>
          <t>Reading it</t>
        </is>
      </c>
    </row>
    <row r="21">
      <c r="B21" s="43">
        <f>IF(Suppliers!$B$5="","",Suppliers!$B$5)</f>
        <v/>
      </c>
      <c r="C21" s="32">
        <f>IF(B21="","",COUNTIF('Stock list'!$H$2:$H$301,B21))</f>
        <v/>
      </c>
      <c r="D21" s="40">
        <f>IF(B21="","",SUMIFS('Stock list'!$AC$2:$AC$301,'Stock list'!$H$2:$H$301,B21))</f>
        <v/>
      </c>
      <c r="E21" s="54">
        <f>IF(OR(B21="",$C$13=0),"",D21/$C$13)</f>
        <v/>
      </c>
      <c r="F21" s="40">
        <f>IF(B21="","",SUMIFS('Stock list'!$AD$2:$AD$301,'Stock list'!$H$2:$H$301,B21))</f>
        <v/>
      </c>
      <c r="G21" s="55">
        <f>IF(B21="","",IF(E21&gt;=0.35,"Look here: "&amp;TEXT(E21,"0%")&amp;" of spend. Worth a conversation about pricing and a framework order.",IF(AND(C21&gt;0,C21&lt;=2,E21&lt;0.05),"Two items or fewer: could another supplier carry them?","")))</f>
        <v/>
      </c>
    </row>
    <row r="22">
      <c r="B22" s="43">
        <f>IF(Suppliers!$B$6="","",Suppliers!$B$6)</f>
        <v/>
      </c>
      <c r="C22" s="32">
        <f>IF(B22="","",COUNTIF('Stock list'!$H$2:$H$301,B22))</f>
        <v/>
      </c>
      <c r="D22" s="40">
        <f>IF(B22="","",SUMIFS('Stock list'!$AC$2:$AC$301,'Stock list'!$H$2:$H$301,B22))</f>
        <v/>
      </c>
      <c r="E22" s="54">
        <f>IF(OR(B22="",$C$13=0),"",D22/$C$13)</f>
        <v/>
      </c>
      <c r="F22" s="40">
        <f>IF(B22="","",SUMIFS('Stock list'!$AD$2:$AD$301,'Stock list'!$H$2:$H$301,B22))</f>
        <v/>
      </c>
      <c r="G22" s="55">
        <f>IF(B22="","",IF(E22&gt;=0.35,"Look here: "&amp;TEXT(E22,"0%")&amp;" of spend. Worth a conversation about pricing and a framework order.",IF(AND(C22&gt;0,C22&lt;=2,E22&lt;0.05),"Two items or fewer: could another supplier carry them?","")))</f>
        <v/>
      </c>
    </row>
    <row r="23">
      <c r="B23" s="43">
        <f>IF(Suppliers!$B$7="","",Suppliers!$B$7)</f>
        <v/>
      </c>
      <c r="C23" s="32">
        <f>IF(B23="","",COUNTIF('Stock list'!$H$2:$H$301,B23))</f>
        <v/>
      </c>
      <c r="D23" s="40">
        <f>IF(B23="","",SUMIFS('Stock list'!$AC$2:$AC$301,'Stock list'!$H$2:$H$301,B23))</f>
        <v/>
      </c>
      <c r="E23" s="54">
        <f>IF(OR(B23="",$C$13=0),"",D23/$C$13)</f>
        <v/>
      </c>
      <c r="F23" s="40">
        <f>IF(B23="","",SUMIFS('Stock list'!$AD$2:$AD$301,'Stock list'!$H$2:$H$301,B23))</f>
        <v/>
      </c>
      <c r="G23" s="55">
        <f>IF(B23="","",IF(E23&gt;=0.35,"Look here: "&amp;TEXT(E23,"0%")&amp;" of spend. Worth a conversation about pricing and a framework order.",IF(AND(C23&gt;0,C23&lt;=2,E23&lt;0.05),"Two items or fewer: could another supplier carry them?","")))</f>
        <v/>
      </c>
    </row>
    <row r="24">
      <c r="B24" s="43">
        <f>IF(Suppliers!$B$8="","",Suppliers!$B$8)</f>
        <v/>
      </c>
      <c r="C24" s="32">
        <f>IF(B24="","",COUNTIF('Stock list'!$H$2:$H$301,B24))</f>
        <v/>
      </c>
      <c r="D24" s="40">
        <f>IF(B24="","",SUMIFS('Stock list'!$AC$2:$AC$301,'Stock list'!$H$2:$H$301,B24))</f>
        <v/>
      </c>
      <c r="E24" s="54">
        <f>IF(OR(B24="",$C$13=0),"",D24/$C$13)</f>
        <v/>
      </c>
      <c r="F24" s="40">
        <f>IF(B24="","",SUMIFS('Stock list'!$AD$2:$AD$301,'Stock list'!$H$2:$H$301,B24))</f>
        <v/>
      </c>
      <c r="G24" s="55">
        <f>IF(B24="","",IF(E24&gt;=0.35,"Look here: "&amp;TEXT(E24,"0%")&amp;" of spend. Worth a conversation about pricing and a framework order.",IF(AND(C24&gt;0,C24&lt;=2,E24&lt;0.05),"Two items or fewer: could another supplier carry them?","")))</f>
        <v/>
      </c>
    </row>
    <row r="25">
      <c r="B25" s="43">
        <f>IF(Suppliers!$B$9="","",Suppliers!$B$9)</f>
        <v/>
      </c>
      <c r="C25" s="32">
        <f>IF(B25="","",COUNTIF('Stock list'!$H$2:$H$301,B25))</f>
        <v/>
      </c>
      <c r="D25" s="40">
        <f>IF(B25="","",SUMIFS('Stock list'!$AC$2:$AC$301,'Stock list'!$H$2:$H$301,B25))</f>
        <v/>
      </c>
      <c r="E25" s="54">
        <f>IF(OR(B25="",$C$13=0),"",D25/$C$13)</f>
        <v/>
      </c>
      <c r="F25" s="40">
        <f>IF(B25="","",SUMIFS('Stock list'!$AD$2:$AD$301,'Stock list'!$H$2:$H$301,B25))</f>
        <v/>
      </c>
      <c r="G25" s="55">
        <f>IF(B25="","",IF(E25&gt;=0.35,"Look here: "&amp;TEXT(E25,"0%")&amp;" of spend. Worth a conversation about pricing and a framework order.",IF(AND(C25&gt;0,C25&lt;=2,E25&lt;0.05),"Two items or fewer: could another supplier carry them?","")))</f>
        <v/>
      </c>
    </row>
    <row r="26">
      <c r="B26" s="43">
        <f>IF(Suppliers!$B$10="","",Suppliers!$B$10)</f>
        <v/>
      </c>
      <c r="C26" s="32">
        <f>IF(B26="","",COUNTIF('Stock list'!$H$2:$H$301,B26))</f>
        <v/>
      </c>
      <c r="D26" s="40">
        <f>IF(B26="","",SUMIFS('Stock list'!$AC$2:$AC$301,'Stock list'!$H$2:$H$301,B26))</f>
        <v/>
      </c>
      <c r="E26" s="54">
        <f>IF(OR(B26="",$C$13=0),"",D26/$C$13)</f>
        <v/>
      </c>
      <c r="F26" s="40">
        <f>IF(B26="","",SUMIFS('Stock list'!$AD$2:$AD$301,'Stock list'!$H$2:$H$301,B26))</f>
        <v/>
      </c>
      <c r="G26" s="55">
        <f>IF(B26="","",IF(E26&gt;=0.35,"Look here: "&amp;TEXT(E26,"0%")&amp;" of spend. Worth a conversation about pricing and a framework order.",IF(AND(C26&gt;0,C26&lt;=2,E26&lt;0.05),"Two items or fewer: could another supplier carry them?","")))</f>
        <v/>
      </c>
    </row>
    <row r="27">
      <c r="B27" s="43">
        <f>IF(Suppliers!$B$11="","",Suppliers!$B$11)</f>
        <v/>
      </c>
      <c r="C27" s="32">
        <f>IF(B27="","",COUNTIF('Stock list'!$H$2:$H$301,B27))</f>
        <v/>
      </c>
      <c r="D27" s="40">
        <f>IF(B27="","",SUMIFS('Stock list'!$AC$2:$AC$301,'Stock list'!$H$2:$H$301,B27))</f>
        <v/>
      </c>
      <c r="E27" s="54">
        <f>IF(OR(B27="",$C$13=0),"",D27/$C$13)</f>
        <v/>
      </c>
      <c r="F27" s="40">
        <f>IF(B27="","",SUMIFS('Stock list'!$AD$2:$AD$301,'Stock list'!$H$2:$H$301,B27))</f>
        <v/>
      </c>
      <c r="G27" s="55">
        <f>IF(B27="","",IF(E27&gt;=0.35,"Look here: "&amp;TEXT(E27,"0%")&amp;" of spend. Worth a conversation about pricing and a framework order.",IF(AND(C27&gt;0,C27&lt;=2,E27&lt;0.05),"Two items or fewer: could another supplier carry them?","")))</f>
        <v/>
      </c>
    </row>
    <row r="28">
      <c r="B28" s="43">
        <f>IF(Suppliers!$B$12="","",Suppliers!$B$12)</f>
        <v/>
      </c>
      <c r="C28" s="32">
        <f>IF(B28="","",COUNTIF('Stock list'!$H$2:$H$301,B28))</f>
        <v/>
      </c>
      <c r="D28" s="40">
        <f>IF(B28="","",SUMIFS('Stock list'!$AC$2:$AC$301,'Stock list'!$H$2:$H$301,B28))</f>
        <v/>
      </c>
      <c r="E28" s="54">
        <f>IF(OR(B28="",$C$13=0),"",D28/$C$13)</f>
        <v/>
      </c>
      <c r="F28" s="40">
        <f>IF(B28="","",SUMIFS('Stock list'!$AD$2:$AD$301,'Stock list'!$H$2:$H$301,B28))</f>
        <v/>
      </c>
      <c r="G28" s="55">
        <f>IF(B28="","",IF(E28&gt;=0.35,"Look here: "&amp;TEXT(E28,"0%")&amp;" of spend. Worth a conversation about pricing and a framework order.",IF(AND(C28&gt;0,C28&lt;=2,E28&lt;0.05),"Two items or fewer: could another supplier carry them?","")))</f>
        <v/>
      </c>
    </row>
    <row r="29">
      <c r="B29" s="43">
        <f>IF(Suppliers!$B$13="","",Suppliers!$B$13)</f>
        <v/>
      </c>
      <c r="C29" s="32">
        <f>IF(B29="","",COUNTIF('Stock list'!$H$2:$H$301,B29))</f>
        <v/>
      </c>
      <c r="D29" s="40">
        <f>IF(B29="","",SUMIFS('Stock list'!$AC$2:$AC$301,'Stock list'!$H$2:$H$301,B29))</f>
        <v/>
      </c>
      <c r="E29" s="54">
        <f>IF(OR(B29="",$C$13=0),"",D29/$C$13)</f>
        <v/>
      </c>
      <c r="F29" s="40">
        <f>IF(B29="","",SUMIFS('Stock list'!$AD$2:$AD$301,'Stock list'!$H$2:$H$301,B29))</f>
        <v/>
      </c>
      <c r="G29" s="55">
        <f>IF(B29="","",IF(E29&gt;=0.35,"Look here: "&amp;TEXT(E29,"0%")&amp;" of spend. Worth a conversation about pricing and a framework order.",IF(AND(C29&gt;0,C29&lt;=2,E29&lt;0.05),"Two items or fewer: could another supplier carry them?","")))</f>
        <v/>
      </c>
    </row>
    <row r="30">
      <c r="B30" s="43">
        <f>IF(Suppliers!$B$14="","",Suppliers!$B$14)</f>
        <v/>
      </c>
      <c r="C30" s="32">
        <f>IF(B30="","",COUNTIF('Stock list'!$H$2:$H$301,B30))</f>
        <v/>
      </c>
      <c r="D30" s="40">
        <f>IF(B30="","",SUMIFS('Stock list'!$AC$2:$AC$301,'Stock list'!$H$2:$H$301,B30))</f>
        <v/>
      </c>
      <c r="E30" s="54">
        <f>IF(OR(B30="",$C$13=0),"",D30/$C$13)</f>
        <v/>
      </c>
      <c r="F30" s="40">
        <f>IF(B30="","",SUMIFS('Stock list'!$AD$2:$AD$301,'Stock list'!$H$2:$H$301,B30))</f>
        <v/>
      </c>
      <c r="G30" s="55">
        <f>IF(B30="","",IF(E30&gt;=0.35,"Look here: "&amp;TEXT(E30,"0%")&amp;" of spend. Worth a conversation about pricing and a framework order.",IF(AND(C30&gt;0,C30&lt;=2,E30&lt;0.05),"Two items or fewer: could another supplier carry them?","")))</f>
        <v/>
      </c>
    </row>
    <row r="31">
      <c r="B31" s="43">
        <f>IF(Suppliers!$B$15="","",Suppliers!$B$15)</f>
        <v/>
      </c>
      <c r="C31" s="32">
        <f>IF(B31="","",COUNTIF('Stock list'!$H$2:$H$301,B31))</f>
        <v/>
      </c>
      <c r="D31" s="40">
        <f>IF(B31="","",SUMIFS('Stock list'!$AC$2:$AC$301,'Stock list'!$H$2:$H$301,B31))</f>
        <v/>
      </c>
      <c r="E31" s="54">
        <f>IF(OR(B31="",$C$13=0),"",D31/$C$13)</f>
        <v/>
      </c>
      <c r="F31" s="40">
        <f>IF(B31="","",SUMIFS('Stock list'!$AD$2:$AD$301,'Stock list'!$H$2:$H$301,B31))</f>
        <v/>
      </c>
      <c r="G31" s="55">
        <f>IF(B31="","",IF(E31&gt;=0.35,"Look here: "&amp;TEXT(E31,"0%")&amp;" of spend. Worth a conversation about pricing and a framework order.",IF(AND(C31&gt;0,C31&lt;=2,E31&lt;0.05),"Two items or fewer: could another supplier carry them?","")))</f>
        <v/>
      </c>
    </row>
    <row r="32">
      <c r="B32" s="43">
        <f>IF(Suppliers!$B$16="","",Suppliers!$B$16)</f>
        <v/>
      </c>
      <c r="C32" s="32">
        <f>IF(B32="","",COUNTIF('Stock list'!$H$2:$H$301,B32))</f>
        <v/>
      </c>
      <c r="D32" s="40">
        <f>IF(B32="","",SUMIFS('Stock list'!$AC$2:$AC$301,'Stock list'!$H$2:$H$301,B32))</f>
        <v/>
      </c>
      <c r="E32" s="54">
        <f>IF(OR(B32="",$C$13=0),"",D32/$C$13)</f>
        <v/>
      </c>
      <c r="F32" s="40">
        <f>IF(B32="","",SUMIFS('Stock list'!$AD$2:$AD$301,'Stock list'!$H$2:$H$301,B32))</f>
        <v/>
      </c>
      <c r="G32" s="55">
        <f>IF(B32="","",IF(E32&gt;=0.35,"Look here: "&amp;TEXT(E32,"0%")&amp;" of spend. Worth a conversation about pricing and a framework order.",IF(AND(C32&gt;0,C32&lt;=2,E32&lt;0.05),"Two items or fewer: could another supplier carry them?","")))</f>
        <v/>
      </c>
    </row>
    <row r="33">
      <c r="B33" s="43">
        <f>IF(Suppliers!$B$17="","",Suppliers!$B$17)</f>
        <v/>
      </c>
      <c r="C33" s="32">
        <f>IF(B33="","",COUNTIF('Stock list'!$H$2:$H$301,B33))</f>
        <v/>
      </c>
      <c r="D33" s="40">
        <f>IF(B33="","",SUMIFS('Stock list'!$AC$2:$AC$301,'Stock list'!$H$2:$H$301,B33))</f>
        <v/>
      </c>
      <c r="E33" s="54">
        <f>IF(OR(B33="",$C$13=0),"",D33/$C$13)</f>
        <v/>
      </c>
      <c r="F33" s="40">
        <f>IF(B33="","",SUMIFS('Stock list'!$AD$2:$AD$301,'Stock list'!$H$2:$H$301,B33))</f>
        <v/>
      </c>
      <c r="G33" s="55">
        <f>IF(B33="","",IF(E33&gt;=0.35,"Look here: "&amp;TEXT(E33,"0%")&amp;" of spend. Worth a conversation about pricing and a framework order.",IF(AND(C33&gt;0,C33&lt;=2,E33&lt;0.05),"Two items or fewer: could another supplier carry them?","")))</f>
        <v/>
      </c>
    </row>
    <row r="34">
      <c r="B34" s="43">
        <f>IF(Suppliers!$B$18="","",Suppliers!$B$18)</f>
        <v/>
      </c>
      <c r="C34" s="32">
        <f>IF(B34="","",COUNTIF('Stock list'!$H$2:$H$301,B34))</f>
        <v/>
      </c>
      <c r="D34" s="40">
        <f>IF(B34="","",SUMIFS('Stock list'!$AC$2:$AC$301,'Stock list'!$H$2:$H$301,B34))</f>
        <v/>
      </c>
      <c r="E34" s="54">
        <f>IF(OR(B34="",$C$13=0),"",D34/$C$13)</f>
        <v/>
      </c>
      <c r="F34" s="40">
        <f>IF(B34="","",SUMIFS('Stock list'!$AD$2:$AD$301,'Stock list'!$H$2:$H$301,B34))</f>
        <v/>
      </c>
      <c r="G34" s="55">
        <f>IF(B34="","",IF(E34&gt;=0.35,"Look here: "&amp;TEXT(E34,"0%")&amp;" of spend. Worth a conversation about pricing and a framework order.",IF(AND(C34&gt;0,C34&lt;=2,E34&lt;0.05),"Two items or fewer: could another supplier carry them?","")))</f>
        <v/>
      </c>
    </row>
    <row r="35">
      <c r="B35" s="43">
        <f>IF(Suppliers!$B$19="","",Suppliers!$B$19)</f>
        <v/>
      </c>
      <c r="C35" s="32">
        <f>IF(B35="","",COUNTIF('Stock list'!$H$2:$H$301,B35))</f>
        <v/>
      </c>
      <c r="D35" s="40">
        <f>IF(B35="","",SUMIFS('Stock list'!$AC$2:$AC$301,'Stock list'!$H$2:$H$301,B35))</f>
        <v/>
      </c>
      <c r="E35" s="54">
        <f>IF(OR(B35="",$C$13=0),"",D35/$C$13)</f>
        <v/>
      </c>
      <c r="F35" s="40">
        <f>IF(B35="","",SUMIFS('Stock list'!$AD$2:$AD$301,'Stock list'!$H$2:$H$301,B35))</f>
        <v/>
      </c>
      <c r="G35" s="55">
        <f>IF(B35="","",IF(E35&gt;=0.35,"Look here: "&amp;TEXT(E35,"0%")&amp;" of spend. Worth a conversation about pricing and a framework order.",IF(AND(C35&gt;0,C35&lt;=2,E35&lt;0.05),"Two items or fewer: could another supplier carry them?","")))</f>
        <v/>
      </c>
    </row>
    <row r="36">
      <c r="B36" s="43">
        <f>IF(Suppliers!$B$20="","",Suppliers!$B$20)</f>
        <v/>
      </c>
      <c r="C36" s="32">
        <f>IF(B36="","",COUNTIF('Stock list'!$H$2:$H$301,B36))</f>
        <v/>
      </c>
      <c r="D36" s="40">
        <f>IF(B36="","",SUMIFS('Stock list'!$AC$2:$AC$301,'Stock list'!$H$2:$H$301,B36))</f>
        <v/>
      </c>
      <c r="E36" s="54">
        <f>IF(OR(B36="",$C$13=0),"",D36/$C$13)</f>
        <v/>
      </c>
      <c r="F36" s="40">
        <f>IF(B36="","",SUMIFS('Stock list'!$AD$2:$AD$301,'Stock list'!$H$2:$H$301,B36))</f>
        <v/>
      </c>
      <c r="G36" s="55">
        <f>IF(B36="","",IF(E36&gt;=0.35,"Look here: "&amp;TEXT(E36,"0%")&amp;" of spend. Worth a conversation about pricing and a framework order.",IF(AND(C36&gt;0,C36&lt;=2,E36&lt;0.05),"Two items or fewer: could another supplier carry them?","")))</f>
        <v/>
      </c>
    </row>
    <row r="37">
      <c r="B37" s="43">
        <f>IF(Suppliers!$B$21="","",Suppliers!$B$21)</f>
        <v/>
      </c>
      <c r="C37" s="32">
        <f>IF(B37="","",COUNTIF('Stock list'!$H$2:$H$301,B37))</f>
        <v/>
      </c>
      <c r="D37" s="40">
        <f>IF(B37="","",SUMIFS('Stock list'!$AC$2:$AC$301,'Stock list'!$H$2:$H$301,B37))</f>
        <v/>
      </c>
      <c r="E37" s="54">
        <f>IF(OR(B37="",$C$13=0),"",D37/$C$13)</f>
        <v/>
      </c>
      <c r="F37" s="40">
        <f>IF(B37="","",SUMIFS('Stock list'!$AD$2:$AD$301,'Stock list'!$H$2:$H$301,B37))</f>
        <v/>
      </c>
      <c r="G37" s="55">
        <f>IF(B37="","",IF(E37&gt;=0.35,"Look here: "&amp;TEXT(E37,"0%")&amp;" of spend. Worth a conversation about pricing and a framework order.",IF(AND(C37&gt;0,C37&lt;=2,E37&lt;0.05),"Two items or fewer: could another supplier carry them?","")))</f>
        <v/>
      </c>
    </row>
    <row r="38">
      <c r="B38" s="43">
        <f>IF(Suppliers!$B$22="","",Suppliers!$B$22)</f>
        <v/>
      </c>
      <c r="C38" s="32">
        <f>IF(B38="","",COUNTIF('Stock list'!$H$2:$H$301,B38))</f>
        <v/>
      </c>
      <c r="D38" s="40">
        <f>IF(B38="","",SUMIFS('Stock list'!$AC$2:$AC$301,'Stock list'!$H$2:$H$301,B38))</f>
        <v/>
      </c>
      <c r="E38" s="54">
        <f>IF(OR(B38="",$C$13=0),"",D38/$C$13)</f>
        <v/>
      </c>
      <c r="F38" s="40">
        <f>IF(B38="","",SUMIFS('Stock list'!$AD$2:$AD$301,'Stock list'!$H$2:$H$301,B38))</f>
        <v/>
      </c>
      <c r="G38" s="55">
        <f>IF(B38="","",IF(E38&gt;=0.35,"Look here: "&amp;TEXT(E38,"0%")&amp;" of spend. Worth a conversation about pricing and a framework order.",IF(AND(C38&gt;0,C38&lt;=2,E38&lt;0.05),"Two items or fewer: could another supplier carry them?","")))</f>
        <v/>
      </c>
    </row>
    <row r="39">
      <c r="B39" s="43">
        <f>IF(Suppliers!$B$23="","",Suppliers!$B$23)</f>
        <v/>
      </c>
      <c r="C39" s="32">
        <f>IF(B39="","",COUNTIF('Stock list'!$H$2:$H$301,B39))</f>
        <v/>
      </c>
      <c r="D39" s="40">
        <f>IF(B39="","",SUMIFS('Stock list'!$AC$2:$AC$301,'Stock list'!$H$2:$H$301,B39))</f>
        <v/>
      </c>
      <c r="E39" s="54">
        <f>IF(OR(B39="",$C$13=0),"",D39/$C$13)</f>
        <v/>
      </c>
      <c r="F39" s="40">
        <f>IF(B39="","",SUMIFS('Stock list'!$AD$2:$AD$301,'Stock list'!$H$2:$H$301,B39))</f>
        <v/>
      </c>
      <c r="G39" s="55">
        <f>IF(B39="","",IF(E39&gt;=0.35,"Look here: "&amp;TEXT(E39,"0%")&amp;" of spend. Worth a conversation about pricing and a framework order.",IF(AND(C39&gt;0,C39&lt;=2,E39&lt;0.05),"Two items or fewer: could another supplier carry them?","")))</f>
        <v/>
      </c>
    </row>
    <row r="40">
      <c r="B40" s="43">
        <f>IF(Suppliers!$B$24="","",Suppliers!$B$24)</f>
        <v/>
      </c>
      <c r="C40" s="32">
        <f>IF(B40="","",COUNTIF('Stock list'!$H$2:$H$301,B40))</f>
        <v/>
      </c>
      <c r="D40" s="40">
        <f>IF(B40="","",SUMIFS('Stock list'!$AC$2:$AC$301,'Stock list'!$H$2:$H$301,B40))</f>
        <v/>
      </c>
      <c r="E40" s="54">
        <f>IF(OR(B40="",$C$13=0),"",D40/$C$13)</f>
        <v/>
      </c>
      <c r="F40" s="40">
        <f>IF(B40="","",SUMIFS('Stock list'!$AD$2:$AD$301,'Stock list'!$H$2:$H$301,B40))</f>
        <v/>
      </c>
      <c r="G40" s="55">
        <f>IF(B40="","",IF(E40&gt;=0.35,"Look here: "&amp;TEXT(E40,"0%")&amp;" of spend. Worth a conversation about pricing and a framework order.",IF(AND(C40&gt;0,C40&lt;=2,E40&lt;0.05),"Two items or fewer: could another supplier carry them?","")))</f>
        <v/>
      </c>
    </row>
    <row r="41" ht="30" customHeight="1">
      <c r="B41" s="16" t="inlineStr">
        <is>
          <t>Annual spend is estimated from use per week and unit cost. The usual finding: one supplier takes a third or more of the spend without a negotiated price, and three or four suppliers carry one or two items each. Both are the opening for an approved supplier list.</t>
        </is>
      </c>
    </row>
    <row r="43">
      <c r="B43" s="53" t="inlineStr">
        <is>
          <t>Spend by category</t>
        </is>
      </c>
    </row>
    <row r="44">
      <c r="B44" s="5" t="inlineStr">
        <is>
          <t>Category</t>
        </is>
      </c>
      <c r="C44" s="5" t="inlineStr">
        <is>
          <t>Items</t>
        </is>
      </c>
      <c r="D44" s="5" t="inlineStr">
        <is>
          <t>Annual spend</t>
        </is>
      </c>
      <c r="E44" s="5" t="inlineStr">
        <is>
          <t>Share</t>
        </is>
      </c>
      <c r="F44" s="5" t="inlineStr">
        <is>
          <t>Stock value</t>
        </is>
      </c>
      <c r="G44" s="5" t="inlineStr"/>
    </row>
    <row r="45">
      <c r="B45" s="43">
        <f>IF(Settings!$B$19="","",Settings!$B$19)</f>
        <v/>
      </c>
      <c r="C45" s="32">
        <f>IF(B45="","",COUNTIF('Stock list'!$G$2:$G$301,B45))</f>
        <v/>
      </c>
      <c r="D45" s="40">
        <f>IF(B45="","",SUMIFS('Stock list'!$AC$2:$AC$301,'Stock list'!$G$2:$G$301,B45))</f>
        <v/>
      </c>
      <c r="E45" s="54">
        <f>IF(OR(B45="",$C$13=0),"",D45/$C$13)</f>
        <v/>
      </c>
      <c r="F45" s="40">
        <f>IF(B45="","",SUMIFS('Stock list'!$AD$2:$AD$301,'Stock list'!$G$2:$G$301,B45))</f>
        <v/>
      </c>
      <c r="G45" s="43" t="inlineStr"/>
    </row>
    <row r="46">
      <c r="B46" s="43">
        <f>IF(Settings!$B$20="","",Settings!$B$20)</f>
        <v/>
      </c>
      <c r="C46" s="32">
        <f>IF(B46="","",COUNTIF('Stock list'!$G$2:$G$301,B46))</f>
        <v/>
      </c>
      <c r="D46" s="40">
        <f>IF(B46="","",SUMIFS('Stock list'!$AC$2:$AC$301,'Stock list'!$G$2:$G$301,B46))</f>
        <v/>
      </c>
      <c r="E46" s="54">
        <f>IF(OR(B46="",$C$13=0),"",D46/$C$13)</f>
        <v/>
      </c>
      <c r="F46" s="40">
        <f>IF(B46="","",SUMIFS('Stock list'!$AD$2:$AD$301,'Stock list'!$G$2:$G$301,B46))</f>
        <v/>
      </c>
      <c r="G46" s="43" t="inlineStr"/>
    </row>
    <row r="47">
      <c r="B47" s="43">
        <f>IF(Settings!$B$21="","",Settings!$B$21)</f>
        <v/>
      </c>
      <c r="C47" s="32">
        <f>IF(B47="","",COUNTIF('Stock list'!$G$2:$G$301,B47))</f>
        <v/>
      </c>
      <c r="D47" s="40">
        <f>IF(B47="","",SUMIFS('Stock list'!$AC$2:$AC$301,'Stock list'!$G$2:$G$301,B47))</f>
        <v/>
      </c>
      <c r="E47" s="54">
        <f>IF(OR(B47="",$C$13=0),"",D47/$C$13)</f>
        <v/>
      </c>
      <c r="F47" s="40">
        <f>IF(B47="","",SUMIFS('Stock list'!$AD$2:$AD$301,'Stock list'!$G$2:$G$301,B47))</f>
        <v/>
      </c>
      <c r="G47" s="43" t="inlineStr"/>
    </row>
    <row r="48">
      <c r="B48" s="43">
        <f>IF(Settings!$B$22="","",Settings!$B$22)</f>
        <v/>
      </c>
      <c r="C48" s="32">
        <f>IF(B48="","",COUNTIF('Stock list'!$G$2:$G$301,B48))</f>
        <v/>
      </c>
      <c r="D48" s="40">
        <f>IF(B48="","",SUMIFS('Stock list'!$AC$2:$AC$301,'Stock list'!$G$2:$G$301,B48))</f>
        <v/>
      </c>
      <c r="E48" s="54">
        <f>IF(OR(B48="",$C$13=0),"",D48/$C$13)</f>
        <v/>
      </c>
      <c r="F48" s="40">
        <f>IF(B48="","",SUMIFS('Stock list'!$AD$2:$AD$301,'Stock list'!$G$2:$G$301,B48))</f>
        <v/>
      </c>
      <c r="G48" s="43" t="inlineStr"/>
    </row>
    <row r="49">
      <c r="B49" s="43">
        <f>IF(Settings!$B$23="","",Settings!$B$23)</f>
        <v/>
      </c>
      <c r="C49" s="32">
        <f>IF(B49="","",COUNTIF('Stock list'!$G$2:$G$301,B49))</f>
        <v/>
      </c>
      <c r="D49" s="40">
        <f>IF(B49="","",SUMIFS('Stock list'!$AC$2:$AC$301,'Stock list'!$G$2:$G$301,B49))</f>
        <v/>
      </c>
      <c r="E49" s="54">
        <f>IF(OR(B49="",$C$13=0),"",D49/$C$13)</f>
        <v/>
      </c>
      <c r="F49" s="40">
        <f>IF(B49="","",SUMIFS('Stock list'!$AD$2:$AD$301,'Stock list'!$G$2:$G$301,B49))</f>
        <v/>
      </c>
      <c r="G49" s="43" t="inlineStr"/>
    </row>
    <row r="50">
      <c r="B50" s="43">
        <f>IF(Settings!$B$24="","",Settings!$B$24)</f>
        <v/>
      </c>
      <c r="C50" s="32">
        <f>IF(B50="","",COUNTIF('Stock list'!$G$2:$G$301,B50))</f>
        <v/>
      </c>
      <c r="D50" s="40">
        <f>IF(B50="","",SUMIFS('Stock list'!$AC$2:$AC$301,'Stock list'!$G$2:$G$301,B50))</f>
        <v/>
      </c>
      <c r="E50" s="54">
        <f>IF(OR(B50="",$C$13=0),"",D50/$C$13)</f>
        <v/>
      </c>
      <c r="F50" s="40">
        <f>IF(B50="","",SUMIFS('Stock list'!$AD$2:$AD$301,'Stock list'!$G$2:$G$301,B50))</f>
        <v/>
      </c>
      <c r="G50" s="43" t="inlineStr"/>
    </row>
    <row r="51">
      <c r="B51" s="43">
        <f>IF(Settings!$B$25="","",Settings!$B$25)</f>
        <v/>
      </c>
      <c r="C51" s="32">
        <f>IF(B51="","",COUNTIF('Stock list'!$G$2:$G$301,B51))</f>
        <v/>
      </c>
      <c r="D51" s="40">
        <f>IF(B51="","",SUMIFS('Stock list'!$AC$2:$AC$301,'Stock list'!$G$2:$G$301,B51))</f>
        <v/>
      </c>
      <c r="E51" s="54">
        <f>IF(OR(B51="",$C$13=0),"",D51/$C$13)</f>
        <v/>
      </c>
      <c r="F51" s="40">
        <f>IF(B51="","",SUMIFS('Stock list'!$AD$2:$AD$301,'Stock list'!$G$2:$G$301,B51))</f>
        <v/>
      </c>
      <c r="G51" s="43" t="inlineStr"/>
    </row>
    <row r="52">
      <c r="B52" s="43">
        <f>IF(Settings!$B$26="","",Settings!$B$26)</f>
        <v/>
      </c>
      <c r="C52" s="32">
        <f>IF(B52="","",COUNTIF('Stock list'!$G$2:$G$301,B52))</f>
        <v/>
      </c>
      <c r="D52" s="40">
        <f>IF(B52="","",SUMIFS('Stock list'!$AC$2:$AC$301,'Stock list'!$G$2:$G$301,B52))</f>
        <v/>
      </c>
      <c r="E52" s="54">
        <f>IF(OR(B52="",$C$13=0),"",D52/$C$13)</f>
        <v/>
      </c>
      <c r="F52" s="40">
        <f>IF(B52="","",SUMIFS('Stock list'!$AD$2:$AD$301,'Stock list'!$G$2:$G$301,B52))</f>
        <v/>
      </c>
      <c r="G52" s="43" t="inlineStr"/>
    </row>
    <row r="53">
      <c r="B53" s="43">
        <f>IF(Settings!$B$27="","",Settings!$B$27)</f>
        <v/>
      </c>
      <c r="C53" s="32">
        <f>IF(B53="","",COUNTIF('Stock list'!$G$2:$G$301,B53))</f>
        <v/>
      </c>
      <c r="D53" s="40">
        <f>IF(B53="","",SUMIFS('Stock list'!$AC$2:$AC$301,'Stock list'!$G$2:$G$301,B53))</f>
        <v/>
      </c>
      <c r="E53" s="54">
        <f>IF(OR(B53="",$C$13=0),"",D53/$C$13)</f>
        <v/>
      </c>
      <c r="F53" s="40">
        <f>IF(B53="","",SUMIFS('Stock list'!$AD$2:$AD$301,'Stock list'!$G$2:$G$301,B53))</f>
        <v/>
      </c>
      <c r="G53" s="43" t="inlineStr"/>
    </row>
    <row r="54">
      <c r="B54" s="43">
        <f>IF(Settings!$B$28="","",Settings!$B$28)</f>
        <v/>
      </c>
      <c r="C54" s="32">
        <f>IF(B54="","",COUNTIF('Stock list'!$G$2:$G$301,B54))</f>
        <v/>
      </c>
      <c r="D54" s="40">
        <f>IF(B54="","",SUMIFS('Stock list'!$AC$2:$AC$301,'Stock list'!$G$2:$G$301,B54))</f>
        <v/>
      </c>
      <c r="E54" s="54">
        <f>IF(OR(B54="",$C$13=0),"",D54/$C$13)</f>
        <v/>
      </c>
      <c r="F54" s="40">
        <f>IF(B54="","",SUMIFS('Stock list'!$AD$2:$AD$301,'Stock list'!$G$2:$G$301,B54))</f>
        <v/>
      </c>
      <c r="G54" s="43" t="inlineStr"/>
    </row>
    <row r="57">
      <c r="B57" s="53" t="inlineStr">
        <is>
          <t>Top ten items by annual spend</t>
        </is>
      </c>
    </row>
    <row r="58">
      <c r="B58" s="5" t="inlineStr">
        <is>
          <t>Item</t>
        </is>
      </c>
      <c r="C58" s="5" t="inlineStr">
        <is>
          <t>Supplier</t>
        </is>
      </c>
      <c r="D58" s="5" t="inlineStr">
        <is>
          <t>Annual spend</t>
        </is>
      </c>
      <c r="E58" s="5" t="inlineStr">
        <is>
          <t>Share</t>
        </is>
      </c>
      <c r="F58" s="5" t="inlineStr">
        <is>
          <t>Status</t>
        </is>
      </c>
      <c r="G58" s="5" t="inlineStr">
        <is>
          <t>Reading it</t>
        </is>
      </c>
    </row>
    <row r="59">
      <c r="B59" s="43">
        <f>IFERROR(INDEX('Stock list'!$A$2:$A$301,MATCH(LARGE('Stock list'!$AL$2:$AL$301,1),'Stock list'!$AL$2:$AL$301,0)),"")</f>
        <v/>
      </c>
      <c r="C59" s="43">
        <f>IF(B59="","",INDEX('Stock list'!$H$2:$H$301,MATCH(LARGE('Stock list'!$AL$2:$AL$301,1),'Stock list'!$AL$2:$AL$301,0))&amp;"")</f>
        <v/>
      </c>
      <c r="D59" s="40">
        <f>IF(B59="","",INDEX('Stock list'!$AC$2:$AC$301,MATCH(LARGE('Stock list'!$AL$2:$AL$301,1),'Stock list'!$AL$2:$AL$301,0)))</f>
        <v/>
      </c>
      <c r="E59" s="54">
        <f>IF(OR(B59="",$C$13=0),"",D59/$C$13)</f>
        <v/>
      </c>
      <c r="F59" s="56">
        <f>IF(B59="","",INDEX('Stock list'!$B$2:$B$301,MATCH(LARGE('Stock list'!$AL$2:$AL$301,1),'Stock list'!$AL$2:$AL$301,0)))</f>
        <v/>
      </c>
      <c r="G59" s="10">
        <f>IF(B59="","","The item to negotiate first; a 10% saving here is "&amp;Settings!$C$11&amp;TEXT(D59*0.1,"#,##0")&amp;" a year.")</f>
        <v/>
      </c>
    </row>
    <row r="60">
      <c r="B60" s="43">
        <f>IFERROR(INDEX('Stock list'!$A$2:$A$301,MATCH(LARGE('Stock list'!$AL$2:$AL$301,2),'Stock list'!$AL$2:$AL$301,0)),"")</f>
        <v/>
      </c>
      <c r="C60" s="43">
        <f>IF(B60="","",INDEX('Stock list'!$H$2:$H$301,MATCH(LARGE('Stock list'!$AL$2:$AL$301,2),'Stock list'!$AL$2:$AL$301,0))&amp;"")</f>
        <v/>
      </c>
      <c r="D60" s="40">
        <f>IF(B60="","",INDEX('Stock list'!$AC$2:$AC$301,MATCH(LARGE('Stock list'!$AL$2:$AL$301,2),'Stock list'!$AL$2:$AL$301,0)))</f>
        <v/>
      </c>
      <c r="E60" s="54">
        <f>IF(OR(B60="",$C$13=0),"",D60/$C$13)</f>
        <v/>
      </c>
      <c r="F60" s="56">
        <f>IF(B60="","",INDEX('Stock list'!$B$2:$B$301,MATCH(LARGE('Stock list'!$AL$2:$AL$301,2),'Stock list'!$AL$2:$AL$301,0)))</f>
        <v/>
      </c>
      <c r="G60" s="10">
        <f>IF(OR(B60="",F60&lt;&gt;"Critical"),"","Critical and in the top ten: this is the one that stops the lab.")</f>
        <v/>
      </c>
    </row>
    <row r="61">
      <c r="B61" s="43">
        <f>IFERROR(INDEX('Stock list'!$A$2:$A$301,MATCH(LARGE('Stock list'!$AL$2:$AL$301,3),'Stock list'!$AL$2:$AL$301,0)),"")</f>
        <v/>
      </c>
      <c r="C61" s="43">
        <f>IF(B61="","",INDEX('Stock list'!$H$2:$H$301,MATCH(LARGE('Stock list'!$AL$2:$AL$301,3),'Stock list'!$AL$2:$AL$301,0))&amp;"")</f>
        <v/>
      </c>
      <c r="D61" s="40">
        <f>IF(B61="","",INDEX('Stock list'!$AC$2:$AC$301,MATCH(LARGE('Stock list'!$AL$2:$AL$301,3),'Stock list'!$AL$2:$AL$301,0)))</f>
        <v/>
      </c>
      <c r="E61" s="54">
        <f>IF(OR(B61="",$C$13=0),"",D61/$C$13)</f>
        <v/>
      </c>
      <c r="F61" s="56">
        <f>IF(B61="","",INDEX('Stock list'!$B$2:$B$301,MATCH(LARGE('Stock list'!$AL$2:$AL$301,3),'Stock list'!$AL$2:$AL$301,0)))</f>
        <v/>
      </c>
      <c r="G61" s="10">
        <f>IF(OR(B61="",F61&lt;&gt;"Critical"),"","Critical and in the top ten: this is the one that stops the lab.")</f>
        <v/>
      </c>
    </row>
    <row r="62">
      <c r="B62" s="43">
        <f>IFERROR(INDEX('Stock list'!$A$2:$A$301,MATCH(LARGE('Stock list'!$AL$2:$AL$301,4),'Stock list'!$AL$2:$AL$301,0)),"")</f>
        <v/>
      </c>
      <c r="C62" s="43">
        <f>IF(B62="","",INDEX('Stock list'!$H$2:$H$301,MATCH(LARGE('Stock list'!$AL$2:$AL$301,4),'Stock list'!$AL$2:$AL$301,0))&amp;"")</f>
        <v/>
      </c>
      <c r="D62" s="40">
        <f>IF(B62="","",INDEX('Stock list'!$AC$2:$AC$301,MATCH(LARGE('Stock list'!$AL$2:$AL$301,4),'Stock list'!$AL$2:$AL$301,0)))</f>
        <v/>
      </c>
      <c r="E62" s="54">
        <f>IF(OR(B62="",$C$13=0),"",D62/$C$13)</f>
        <v/>
      </c>
      <c r="F62" s="56">
        <f>IF(B62="","",INDEX('Stock list'!$B$2:$B$301,MATCH(LARGE('Stock list'!$AL$2:$AL$301,4),'Stock list'!$AL$2:$AL$301,0)))</f>
        <v/>
      </c>
      <c r="G62" s="10">
        <f>IF(OR(B62="",F62&lt;&gt;"Critical"),"","Critical and in the top ten: this is the one that stops the lab.")</f>
        <v/>
      </c>
    </row>
    <row r="63">
      <c r="B63" s="43">
        <f>IFERROR(INDEX('Stock list'!$A$2:$A$301,MATCH(LARGE('Stock list'!$AL$2:$AL$301,5),'Stock list'!$AL$2:$AL$301,0)),"")</f>
        <v/>
      </c>
      <c r="C63" s="43">
        <f>IF(B63="","",INDEX('Stock list'!$H$2:$H$301,MATCH(LARGE('Stock list'!$AL$2:$AL$301,5),'Stock list'!$AL$2:$AL$301,0))&amp;"")</f>
        <v/>
      </c>
      <c r="D63" s="40">
        <f>IF(B63="","",INDEX('Stock list'!$AC$2:$AC$301,MATCH(LARGE('Stock list'!$AL$2:$AL$301,5),'Stock list'!$AL$2:$AL$301,0)))</f>
        <v/>
      </c>
      <c r="E63" s="54">
        <f>IF(OR(B63="",$C$13=0),"",D63/$C$13)</f>
        <v/>
      </c>
      <c r="F63" s="56">
        <f>IF(B63="","",INDEX('Stock list'!$B$2:$B$301,MATCH(LARGE('Stock list'!$AL$2:$AL$301,5),'Stock list'!$AL$2:$AL$301,0)))</f>
        <v/>
      </c>
      <c r="G63" s="10">
        <f>IF(OR(B63="",F63&lt;&gt;"Critical"),"","Critical and in the top ten: this is the one that stops the lab.")</f>
        <v/>
      </c>
    </row>
    <row r="64">
      <c r="B64" s="43">
        <f>IFERROR(INDEX('Stock list'!$A$2:$A$301,MATCH(LARGE('Stock list'!$AL$2:$AL$301,6),'Stock list'!$AL$2:$AL$301,0)),"")</f>
        <v/>
      </c>
      <c r="C64" s="43">
        <f>IF(B64="","",INDEX('Stock list'!$H$2:$H$301,MATCH(LARGE('Stock list'!$AL$2:$AL$301,6),'Stock list'!$AL$2:$AL$301,0))&amp;"")</f>
        <v/>
      </c>
      <c r="D64" s="40">
        <f>IF(B64="","",INDEX('Stock list'!$AC$2:$AC$301,MATCH(LARGE('Stock list'!$AL$2:$AL$301,6),'Stock list'!$AL$2:$AL$301,0)))</f>
        <v/>
      </c>
      <c r="E64" s="54">
        <f>IF(OR(B64="",$C$13=0),"",D64/$C$13)</f>
        <v/>
      </c>
      <c r="F64" s="56">
        <f>IF(B64="","",INDEX('Stock list'!$B$2:$B$301,MATCH(LARGE('Stock list'!$AL$2:$AL$301,6),'Stock list'!$AL$2:$AL$301,0)))</f>
        <v/>
      </c>
      <c r="G64" s="10">
        <f>IF(OR(B64="",F64&lt;&gt;"Critical"),"","Critical and in the top ten: this is the one that stops the lab.")</f>
        <v/>
      </c>
    </row>
    <row r="65">
      <c r="B65" s="43">
        <f>IFERROR(INDEX('Stock list'!$A$2:$A$301,MATCH(LARGE('Stock list'!$AL$2:$AL$301,7),'Stock list'!$AL$2:$AL$301,0)),"")</f>
        <v/>
      </c>
      <c r="C65" s="43">
        <f>IF(B65="","",INDEX('Stock list'!$H$2:$H$301,MATCH(LARGE('Stock list'!$AL$2:$AL$301,7),'Stock list'!$AL$2:$AL$301,0))&amp;"")</f>
        <v/>
      </c>
      <c r="D65" s="40">
        <f>IF(B65="","",INDEX('Stock list'!$AC$2:$AC$301,MATCH(LARGE('Stock list'!$AL$2:$AL$301,7),'Stock list'!$AL$2:$AL$301,0)))</f>
        <v/>
      </c>
      <c r="E65" s="54">
        <f>IF(OR(B65="",$C$13=0),"",D65/$C$13)</f>
        <v/>
      </c>
      <c r="F65" s="56">
        <f>IF(B65="","",INDEX('Stock list'!$B$2:$B$301,MATCH(LARGE('Stock list'!$AL$2:$AL$301,7),'Stock list'!$AL$2:$AL$301,0)))</f>
        <v/>
      </c>
      <c r="G65" s="10">
        <f>IF(OR(B65="",F65&lt;&gt;"Critical"),"","Critical and in the top ten: this is the one that stops the lab.")</f>
        <v/>
      </c>
    </row>
    <row r="66">
      <c r="B66" s="43">
        <f>IFERROR(INDEX('Stock list'!$A$2:$A$301,MATCH(LARGE('Stock list'!$AL$2:$AL$301,8),'Stock list'!$AL$2:$AL$301,0)),"")</f>
        <v/>
      </c>
      <c r="C66" s="43">
        <f>IF(B66="","",INDEX('Stock list'!$H$2:$H$301,MATCH(LARGE('Stock list'!$AL$2:$AL$301,8),'Stock list'!$AL$2:$AL$301,0))&amp;"")</f>
        <v/>
      </c>
      <c r="D66" s="40">
        <f>IF(B66="","",INDEX('Stock list'!$AC$2:$AC$301,MATCH(LARGE('Stock list'!$AL$2:$AL$301,8),'Stock list'!$AL$2:$AL$301,0)))</f>
        <v/>
      </c>
      <c r="E66" s="54">
        <f>IF(OR(B66="",$C$13=0),"",D66/$C$13)</f>
        <v/>
      </c>
      <c r="F66" s="56">
        <f>IF(B66="","",INDEX('Stock list'!$B$2:$B$301,MATCH(LARGE('Stock list'!$AL$2:$AL$301,8),'Stock list'!$AL$2:$AL$301,0)))</f>
        <v/>
      </c>
      <c r="G66" s="10">
        <f>IF(OR(B66="",F66&lt;&gt;"Critical"),"","Critical and in the top ten: this is the one that stops the lab.")</f>
        <v/>
      </c>
    </row>
    <row r="67">
      <c r="B67" s="43">
        <f>IFERROR(INDEX('Stock list'!$A$2:$A$301,MATCH(LARGE('Stock list'!$AL$2:$AL$301,9),'Stock list'!$AL$2:$AL$301,0)),"")</f>
        <v/>
      </c>
      <c r="C67" s="43">
        <f>IF(B67="","",INDEX('Stock list'!$H$2:$H$301,MATCH(LARGE('Stock list'!$AL$2:$AL$301,9),'Stock list'!$AL$2:$AL$301,0))&amp;"")</f>
        <v/>
      </c>
      <c r="D67" s="40">
        <f>IF(B67="","",INDEX('Stock list'!$AC$2:$AC$301,MATCH(LARGE('Stock list'!$AL$2:$AL$301,9),'Stock list'!$AL$2:$AL$301,0)))</f>
        <v/>
      </c>
      <c r="E67" s="54">
        <f>IF(OR(B67="",$C$13=0),"",D67/$C$13)</f>
        <v/>
      </c>
      <c r="F67" s="56">
        <f>IF(B67="","",INDEX('Stock list'!$B$2:$B$301,MATCH(LARGE('Stock list'!$AL$2:$AL$301,9),'Stock list'!$AL$2:$AL$301,0)))</f>
        <v/>
      </c>
      <c r="G67" s="10">
        <f>IF(OR(B67="",F67&lt;&gt;"Critical"),"","Critical and in the top ten: this is the one that stops the lab.")</f>
        <v/>
      </c>
    </row>
    <row r="68">
      <c r="B68" s="43">
        <f>IFERROR(INDEX('Stock list'!$A$2:$A$301,MATCH(LARGE('Stock list'!$AL$2:$AL$301,10),'Stock list'!$AL$2:$AL$301,0)),"")</f>
        <v/>
      </c>
      <c r="C68" s="43">
        <f>IF(B68="","",INDEX('Stock list'!$H$2:$H$301,MATCH(LARGE('Stock list'!$AL$2:$AL$301,10),'Stock list'!$AL$2:$AL$301,0))&amp;"")</f>
        <v/>
      </c>
      <c r="D68" s="40">
        <f>IF(B68="","",INDEX('Stock list'!$AC$2:$AC$301,MATCH(LARGE('Stock list'!$AL$2:$AL$301,10),'Stock list'!$AL$2:$AL$301,0)))</f>
        <v/>
      </c>
      <c r="E68" s="54">
        <f>IF(OR(B68="",$C$13=0),"",D68/$C$13)</f>
        <v/>
      </c>
      <c r="F68" s="56">
        <f>IF(B68="","",INDEX('Stock list'!$B$2:$B$301,MATCH(LARGE('Stock list'!$AL$2:$AL$301,10),'Stock list'!$AL$2:$AL$301,0)))</f>
        <v/>
      </c>
      <c r="G68" s="10">
        <f>IF(OR(B68="",F68&lt;&gt;"Critical"),"","Critical and in the top ten: this is the one that stops the lab.")</f>
        <v/>
      </c>
    </row>
    <row r="70" ht="30" customHeight="1">
      <c r="B70" s="16" t="inlineStr">
        <is>
          <t>These ten items are usually 60 to 80% of the spend. Agree prices and a framework order for them, and let the rest ride on the Monday list.</t>
        </is>
      </c>
    </row>
  </sheetData>
  <mergeCells count="5">
    <mergeCell ref="D4:F4"/>
    <mergeCell ref="B17:G17"/>
    <mergeCell ref="B41:G41"/>
    <mergeCell ref="B70:G70"/>
    <mergeCell ref="D8:F8"/>
  </mergeCells>
  <conditionalFormatting sqref="C8">
    <cfRule type="expression" priority="1" dxfId="0">
      <formula>$C$8&gt;0</formula>
    </cfRule>
  </conditionalFormatting>
  <pageMargins left="0.75" right="0.75" top="1" bottom="1" header="0.5" footer="0.5"/>
  <pageSetup orientation="landscape"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2026-10-26T10:17:41Z</dcterms:created>
  <dcterms:modified xmlns:dcterms="http://purl.org/dc/terms/" xmlns:xsi="http://www.w3.org/2001/XMLSchema-instance" xsi:type="dcterms:W3CDTF">2026-10-26T10:17:43Z</dcterms:modified>
</cp:coreProperties>
</file>